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codeName="ThisWorkbook"/>
  <mc:AlternateContent xmlns:mc="http://schemas.openxmlformats.org/markup-compatibility/2006">
    <mc:Choice Requires="x15">
      <x15ac:absPath xmlns:x15ac="http://schemas.microsoft.com/office/spreadsheetml/2010/11/ac" url="C:\Users\nbourre\odrive\Google_Drive_College\_college\_cours\_A18\1H7\"/>
    </mc:Choice>
  </mc:AlternateContent>
  <xr:revisionPtr revIDLastSave="0" documentId="13_ncr:1_{13BF106E-8216-4DCF-9AF2-3EC1EE351F5A}" xr6:coauthVersionLast="37" xr6:coauthVersionMax="37" xr10:uidLastSave="{00000000-0000-0000-0000-000000000000}"/>
  <bookViews>
    <workbookView xWindow="345" yWindow="465" windowWidth="26355" windowHeight="13725" xr2:uid="{00000000-000D-0000-FFFF-FFFF00000000}"/>
  </bookViews>
  <sheets>
    <sheet name="Feuil1" sheetId="1" r:id="rId1"/>
    <sheet name="Feuil2" sheetId="2" r:id="rId2"/>
    <sheet name="Feuil3" sheetId="3" state="hidden" r:id="rId3"/>
    <sheet name="Feuil4" sheetId="4" state="hidden" r:id="rId4"/>
  </sheets>
  <calcPr calcId="179021"/>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O20" i="1" l="1"/>
  <c r="O25" i="1" s="1"/>
  <c r="K50" i="1"/>
  <c r="V49" i="2"/>
  <c r="U46" i="2"/>
  <c r="O50" i="2"/>
  <c r="M51" i="2"/>
  <c r="M45" i="2"/>
  <c r="N51" i="2" s="1"/>
  <c r="Q51" i="2" s="1"/>
  <c r="K44" i="1" s="1"/>
  <c r="T49" i="1" s="1"/>
  <c r="M39" i="2"/>
  <c r="O48" i="2"/>
  <c r="R29" i="1"/>
  <c r="K42" i="1"/>
  <c r="V47" i="2"/>
  <c r="U44" i="2"/>
  <c r="K51" i="2"/>
  <c r="K45" i="2"/>
  <c r="L51" i="2" s="1"/>
  <c r="K39" i="2"/>
  <c r="M18" i="2"/>
  <c r="Q18" i="2"/>
  <c r="B41" i="1" s="1"/>
  <c r="K28" i="1"/>
  <c r="Q36" i="1"/>
  <c r="Q44" i="1"/>
  <c r="K27" i="2"/>
  <c r="K17" i="2"/>
  <c r="H30" i="2"/>
  <c r="E26" i="2"/>
  <c r="F26" i="2" s="1"/>
  <c r="K14" i="1" s="1"/>
  <c r="T13" i="1" s="1"/>
  <c r="K8" i="2"/>
  <c r="C8" i="2"/>
  <c r="B8" i="2"/>
  <c r="E21" i="2" s="1"/>
  <c r="A8" i="2"/>
  <c r="B49" i="1"/>
  <c r="D34" i="1"/>
  <c r="B15" i="2"/>
  <c r="C15" i="2"/>
  <c r="B16" i="2"/>
  <c r="C16" i="2"/>
  <c r="B17" i="2"/>
  <c r="C17" i="2"/>
  <c r="B18" i="2"/>
  <c r="C18" i="2"/>
  <c r="A16" i="2"/>
  <c r="A17" i="2"/>
  <c r="A18" i="2"/>
  <c r="A15" i="2"/>
  <c r="K9" i="1"/>
  <c r="I42" i="3"/>
  <c r="I44" i="3" s="1"/>
  <c r="H32" i="2"/>
  <c r="K20" i="1" s="1"/>
  <c r="T19" i="1" s="1"/>
  <c r="M15" i="2"/>
  <c r="O27" i="3"/>
  <c r="O33" i="3" s="1"/>
  <c r="K5" i="3"/>
  <c r="V20" i="3"/>
  <c r="V19" i="3"/>
  <c r="V18" i="3"/>
  <c r="V17" i="3"/>
  <c r="V13" i="3"/>
  <c r="V12" i="3"/>
  <c r="V11" i="3"/>
  <c r="V10" i="3"/>
  <c r="V4" i="3"/>
  <c r="V6" i="3"/>
  <c r="V5" i="3"/>
  <c r="V3" i="3"/>
  <c r="D18" i="3"/>
  <c r="D19" i="3"/>
  <c r="D20" i="3"/>
  <c r="D17" i="3"/>
  <c r="D13" i="3"/>
  <c r="D12" i="3"/>
  <c r="D11" i="3"/>
  <c r="D10" i="3"/>
  <c r="I5" i="3"/>
  <c r="Q5" i="3" s="1"/>
  <c r="D5" i="3"/>
  <c r="J5" i="3"/>
  <c r="R5" i="3"/>
  <c r="D4" i="3"/>
  <c r="Q4" i="3" s="1"/>
  <c r="I4" i="3"/>
  <c r="D6" i="3"/>
  <c r="D3" i="3"/>
  <c r="R3" i="3" s="1"/>
  <c r="C53" i="3"/>
  <c r="C60" i="3"/>
  <c r="D53" i="3"/>
  <c r="D60" i="3" s="1"/>
  <c r="E53" i="3"/>
  <c r="E60" i="3" s="1"/>
  <c r="F38" i="3"/>
  <c r="F53" i="3"/>
  <c r="F60" i="3"/>
  <c r="B53" i="3"/>
  <c r="B60" i="3" s="1"/>
  <c r="E52" i="3"/>
  <c r="E59" i="3"/>
  <c r="E51" i="3"/>
  <c r="E58" i="3"/>
  <c r="C51" i="3"/>
  <c r="C58" i="3" s="1"/>
  <c r="D51" i="3"/>
  <c r="D58" i="3"/>
  <c r="C52" i="3"/>
  <c r="C59" i="3" s="1"/>
  <c r="D52" i="3"/>
  <c r="D59" i="3"/>
  <c r="B52" i="3"/>
  <c r="B59" i="3" s="1"/>
  <c r="B51" i="3"/>
  <c r="B58" i="3"/>
  <c r="F46" i="3"/>
  <c r="F52" i="3" s="1"/>
  <c r="F59" i="3" s="1"/>
  <c r="F42" i="3"/>
  <c r="F41" i="3"/>
  <c r="F51" i="3" s="1"/>
  <c r="F58" i="3" s="1"/>
  <c r="O26" i="3"/>
  <c r="O32" i="3" s="1"/>
  <c r="K4" i="3"/>
  <c r="S4" i="3" s="1"/>
  <c r="O28" i="3"/>
  <c r="K6" i="3"/>
  <c r="K34" i="3" s="1"/>
  <c r="O25" i="3"/>
  <c r="K3" i="3"/>
  <c r="O31" i="3"/>
  <c r="I25" i="3"/>
  <c r="K28" i="3"/>
  <c r="J28" i="3"/>
  <c r="I28" i="3"/>
  <c r="I34" i="3" s="1"/>
  <c r="L34" i="3" s="1"/>
  <c r="M34" i="3" s="1"/>
  <c r="K27" i="3"/>
  <c r="J27" i="3"/>
  <c r="I27" i="3"/>
  <c r="K26" i="3"/>
  <c r="J26" i="3"/>
  <c r="I26" i="3"/>
  <c r="K25" i="3"/>
  <c r="K31" i="3"/>
  <c r="J25" i="3"/>
  <c r="J31" i="3" s="1"/>
  <c r="C28" i="3"/>
  <c r="C27" i="3"/>
  <c r="C26" i="3"/>
  <c r="C25" i="3"/>
  <c r="C20" i="3"/>
  <c r="C19" i="3"/>
  <c r="C18" i="3"/>
  <c r="C17" i="3"/>
  <c r="J3" i="3"/>
  <c r="S3" i="3"/>
  <c r="J4" i="3"/>
  <c r="R4" i="3" s="1"/>
  <c r="S5" i="3"/>
  <c r="J6" i="3"/>
  <c r="R6" i="3" s="1"/>
  <c r="I6" i="3"/>
  <c r="Q6" i="3" s="1"/>
  <c r="I3" i="3"/>
  <c r="C13" i="3"/>
  <c r="F13" i="3" s="1"/>
  <c r="C12" i="3"/>
  <c r="F12" i="3" s="1"/>
  <c r="C11" i="3"/>
  <c r="C10" i="3"/>
  <c r="C5" i="3"/>
  <c r="O5" i="3" s="1"/>
  <c r="G12" i="3" s="1"/>
  <c r="C6" i="3"/>
  <c r="N6" i="3"/>
  <c r="C4" i="3"/>
  <c r="M4" i="3" s="1"/>
  <c r="C3" i="3"/>
  <c r="O3" i="3"/>
  <c r="M48" i="2"/>
  <c r="K48" i="2"/>
  <c r="K29" i="2"/>
  <c r="T32" i="1"/>
  <c r="T33" i="1"/>
  <c r="K19" i="2"/>
  <c r="K27" i="1" s="1"/>
  <c r="M49" i="2"/>
  <c r="U37" i="2"/>
  <c r="U38" i="2" s="1"/>
  <c r="U39" i="2" s="1"/>
  <c r="U40" i="2" s="1"/>
  <c r="U41" i="2" s="1"/>
  <c r="U42" i="2" s="1"/>
  <c r="V37" i="2"/>
  <c r="V38" i="2"/>
  <c r="V39" i="2"/>
  <c r="V40" i="2" s="1"/>
  <c r="V41" i="2" s="1"/>
  <c r="V42" i="2" s="1"/>
  <c r="V43" i="2" s="1"/>
  <c r="V44" i="2" s="1"/>
  <c r="V45" i="2" s="1"/>
  <c r="K49" i="2"/>
  <c r="K10" i="2"/>
  <c r="K33" i="3"/>
  <c r="K11" i="2"/>
  <c r="N10" i="2" s="1"/>
  <c r="T9" i="1" s="1"/>
  <c r="J32" i="3"/>
  <c r="J33" i="3"/>
  <c r="J34" i="3"/>
  <c r="I31" i="3"/>
  <c r="L31" i="3" s="1"/>
  <c r="M31" i="3" s="1"/>
  <c r="K32" i="3"/>
  <c r="M3" i="3"/>
  <c r="O6" i="3"/>
  <c r="G13" i="3"/>
  <c r="K13" i="3" s="1"/>
  <c r="S13" i="3" s="1"/>
  <c r="G10" i="3"/>
  <c r="N5" i="3"/>
  <c r="N3" i="3"/>
  <c r="F10" i="3" s="1"/>
  <c r="E10" i="3"/>
  <c r="I32" i="3"/>
  <c r="L32" i="3" s="1"/>
  <c r="M32" i="3" s="1"/>
  <c r="M6" i="3"/>
  <c r="R34" i="1"/>
  <c r="D10" i="1"/>
  <c r="O13" i="3"/>
  <c r="M10" i="3"/>
  <c r="I10" i="3"/>
  <c r="Q10" i="3" s="1"/>
  <c r="O10" i="3"/>
  <c r="K10" i="3"/>
  <c r="S10" i="3" s="1"/>
  <c r="T50" i="1" l="1"/>
  <c r="R51" i="1" s="1"/>
  <c r="J10" i="3"/>
  <c r="R10" i="3" s="1"/>
  <c r="N10" i="3"/>
  <c r="E11" i="3"/>
  <c r="T10" i="1"/>
  <c r="R11" i="1"/>
  <c r="J12" i="3"/>
  <c r="R12" i="3" s="1"/>
  <c r="N12" i="3"/>
  <c r="R21" i="1"/>
  <c r="T20" i="1"/>
  <c r="E23" i="2"/>
  <c r="T5" i="1" s="1"/>
  <c r="T4" i="1"/>
  <c r="R6" i="1" s="1"/>
  <c r="O12" i="3"/>
  <c r="K12" i="3"/>
  <c r="S12" i="3" s="1"/>
  <c r="N13" i="3"/>
  <c r="J13" i="3"/>
  <c r="R13" i="3" s="1"/>
  <c r="R7" i="3"/>
  <c r="R15" i="1"/>
  <c r="T14" i="1"/>
  <c r="P16" i="2"/>
  <c r="P17" i="2" s="1"/>
  <c r="M30" i="1"/>
  <c r="E13" i="3"/>
  <c r="M5" i="3"/>
  <c r="E12" i="3" s="1"/>
  <c r="O4" i="3"/>
  <c r="N4" i="3"/>
  <c r="O34" i="3"/>
  <c r="I33" i="3"/>
  <c r="L33" i="3" s="1"/>
  <c r="M33" i="3" s="1"/>
  <c r="S6" i="3"/>
  <c r="S7" i="3" s="1"/>
  <c r="Q3" i="3"/>
  <c r="Q7" i="3" s="1"/>
  <c r="M16" i="2"/>
  <c r="I43" i="3"/>
  <c r="Q49" i="2"/>
  <c r="K36" i="1" s="1"/>
  <c r="T40" i="1" s="1"/>
  <c r="T41" i="1" s="1"/>
  <c r="R42" i="1" s="1"/>
  <c r="M13" i="3" l="1"/>
  <c r="I13" i="3"/>
  <c r="Q13" i="3" s="1"/>
  <c r="F11" i="3"/>
  <c r="N7" i="3"/>
  <c r="O7" i="3"/>
  <c r="G11" i="3"/>
  <c r="M12" i="3"/>
  <c r="I12" i="3"/>
  <c r="Q12" i="3" s="1"/>
  <c r="I11" i="3"/>
  <c r="Q11" i="3" s="1"/>
  <c r="Q14" i="3" s="1"/>
  <c r="Y5" i="3" s="1"/>
  <c r="M11" i="3"/>
  <c r="M14" i="3" s="1"/>
  <c r="D15" i="4" s="1"/>
  <c r="O27" i="1"/>
  <c r="L20" i="2"/>
  <c r="T27" i="1" s="1"/>
  <c r="T28" i="1" s="1"/>
  <c r="I18" i="3"/>
  <c r="E18" i="3" s="1"/>
  <c r="M18" i="3" s="1"/>
  <c r="M7" i="3"/>
  <c r="J11" i="3" l="1"/>
  <c r="R11" i="3" s="1"/>
  <c r="R14" i="3" s="1"/>
  <c r="N11" i="3"/>
  <c r="N14" i="3" s="1"/>
  <c r="E15" i="4" s="1"/>
  <c r="Y18" i="3"/>
  <c r="Y4" i="3"/>
  <c r="Y11" i="3"/>
  <c r="I19" i="3"/>
  <c r="E19" i="3" s="1"/>
  <c r="M19" i="3" s="1"/>
  <c r="Y12" i="3"/>
  <c r="I20" i="3"/>
  <c r="E20" i="3" s="1"/>
  <c r="M20" i="3" s="1"/>
  <c r="T53" i="1"/>
  <c r="Y13" i="3"/>
  <c r="Y20" i="3"/>
  <c r="Y10" i="3"/>
  <c r="Y3" i="3"/>
  <c r="Y6" i="3"/>
  <c r="K11" i="3"/>
  <c r="S11" i="3" s="1"/>
  <c r="S14" i="3" s="1"/>
  <c r="O11" i="3"/>
  <c r="O14" i="3" s="1"/>
  <c r="F15" i="4" s="1"/>
  <c r="Y17" i="3"/>
  <c r="Y19" i="3"/>
  <c r="I17" i="3"/>
  <c r="E17" i="3" s="1"/>
  <c r="M17" i="3" s="1"/>
  <c r="M21" i="3" s="1"/>
  <c r="D29" i="4" s="1"/>
  <c r="AA10" i="3" l="1"/>
  <c r="AA17" i="3"/>
  <c r="AA12" i="3"/>
  <c r="AA4" i="3"/>
  <c r="AA5" i="3"/>
  <c r="AA6" i="3"/>
  <c r="AA3" i="3"/>
  <c r="AA20" i="3"/>
  <c r="AA18" i="3"/>
  <c r="K20" i="3"/>
  <c r="G20" i="3" s="1"/>
  <c r="O20" i="3" s="1"/>
  <c r="AA11" i="3"/>
  <c r="AA13" i="3"/>
  <c r="AA19" i="3"/>
  <c r="K17" i="3"/>
  <c r="G17" i="3" s="1"/>
  <c r="O17" i="3" s="1"/>
  <c r="K19" i="3"/>
  <c r="G19" i="3" s="1"/>
  <c r="O19" i="3" s="1"/>
  <c r="K18" i="3"/>
  <c r="G18" i="3" s="1"/>
  <c r="O18" i="3" s="1"/>
  <c r="T54" i="1"/>
  <c r="T55" i="1" s="1"/>
  <c r="T59" i="1" s="1"/>
  <c r="T61" i="1" s="1"/>
  <c r="J18" i="3"/>
  <c r="F18" i="3" s="1"/>
  <c r="N18" i="3" s="1"/>
  <c r="Z20" i="3"/>
  <c r="J20" i="3"/>
  <c r="F20" i="3" s="1"/>
  <c r="N20" i="3" s="1"/>
  <c r="Z11" i="3"/>
  <c r="Z12" i="3"/>
  <c r="J17" i="3"/>
  <c r="F17" i="3" s="1"/>
  <c r="N17" i="3" s="1"/>
  <c r="Z10" i="3"/>
  <c r="Z17" i="3"/>
  <c r="Z13" i="3"/>
  <c r="J19" i="3"/>
  <c r="F19" i="3" s="1"/>
  <c r="N19" i="3" s="1"/>
  <c r="Z6" i="3"/>
  <c r="Z5" i="3"/>
  <c r="Z4" i="3"/>
  <c r="Z18" i="3"/>
  <c r="Z19" i="3"/>
  <c r="Z3" i="3"/>
  <c r="N21" i="3" l="1"/>
  <c r="E29" i="4" s="1"/>
  <c r="O21" i="3"/>
  <c r="F29" i="4" s="1"/>
</calcChain>
</file>

<file path=xl/sharedStrings.xml><?xml version="1.0" encoding="utf-8"?>
<sst xmlns="http://schemas.openxmlformats.org/spreadsheetml/2006/main" count="414" uniqueCount="204">
  <si>
    <t>Assurance maladie</t>
  </si>
  <si>
    <t>Assurance invalidité de courte durée</t>
  </si>
  <si>
    <t>Assurance invalidité de longue durée</t>
  </si>
  <si>
    <t>Assurance dentaire</t>
  </si>
  <si>
    <t>Assurance vie de base</t>
  </si>
  <si>
    <t>Module A</t>
  </si>
  <si>
    <t>Module B</t>
  </si>
  <si>
    <t>Module C</t>
  </si>
  <si>
    <t>Je suis couvert par l'assurance de mon conjoint</t>
  </si>
  <si>
    <t>Choix en assurance maladie</t>
  </si>
  <si>
    <t>Réponse choisie</t>
  </si>
  <si>
    <t>Coût annuel</t>
  </si>
  <si>
    <t>Coût par 14 jours</t>
  </si>
  <si>
    <t>Couple</t>
  </si>
  <si>
    <t>Ind</t>
  </si>
  <si>
    <t>Mono</t>
  </si>
  <si>
    <t>Fam</t>
  </si>
  <si>
    <t>Si  65 ans ou plus inscrit à la RAMQ</t>
  </si>
  <si>
    <t>Si  65 ans ou plus qui n'est pas inscrit à la RAMQ</t>
  </si>
  <si>
    <t>Âge et RAMQ</t>
  </si>
  <si>
    <t>Adhérent de moins de 65 ans</t>
  </si>
  <si>
    <t>Adhérent de 65 ans ou + inscrit à la RAMQ</t>
  </si>
  <si>
    <t>Adhérent de 65 ans ou + non inscrit à la RAMQ</t>
  </si>
  <si>
    <t>Si adhérent de moins de 65 ans</t>
  </si>
  <si>
    <t>Coût par paie</t>
  </si>
  <si>
    <t>Assurance vie additionnelle</t>
  </si>
  <si>
    <t>N.B. Cette assurance est offerte seulement dans certains syndicats des regroupements privé et université</t>
  </si>
  <si>
    <t>Syndicat</t>
  </si>
  <si>
    <t>Syndicat choisi</t>
  </si>
  <si>
    <t>Taux par 1000$</t>
  </si>
  <si>
    <t>Taux par période de 14 jours pour 1000$ de salaire annuel</t>
  </si>
  <si>
    <t>Choix en assurance dentaire</t>
  </si>
  <si>
    <t>Option 1</t>
  </si>
  <si>
    <t>Option 2</t>
  </si>
  <si>
    <t>Aucune option</t>
  </si>
  <si>
    <t>Test sur la réponse</t>
  </si>
  <si>
    <t>Aucun de ceux-ci</t>
  </si>
  <si>
    <t>Souscrit à l'assurance?</t>
  </si>
  <si>
    <t>Oui</t>
  </si>
  <si>
    <t>Non</t>
  </si>
  <si>
    <t>Taux par paie</t>
  </si>
  <si>
    <t>Choix en assurance vie de base</t>
  </si>
  <si>
    <t>Répnse choisie</t>
  </si>
  <si>
    <t>Catégorie d'âge</t>
  </si>
  <si>
    <t>Autres informations</t>
  </si>
  <si>
    <t>Choix en assurance vie additionnelle</t>
  </si>
  <si>
    <t>Sexe</t>
  </si>
  <si>
    <t>Homme</t>
  </si>
  <si>
    <t>Femme</t>
  </si>
  <si>
    <t>Fumeur/Non fumeur</t>
  </si>
  <si>
    <t>Non fumeur</t>
  </si>
  <si>
    <t>Fumeur</t>
  </si>
  <si>
    <t>Tableau des taux</t>
  </si>
  <si>
    <t>âge</t>
  </si>
  <si>
    <t>Non fumeuse</t>
  </si>
  <si>
    <t>Fumeuse</t>
  </si>
  <si>
    <t>Moins de 25 ans</t>
  </si>
  <si>
    <t>25 à 29 ans</t>
  </si>
  <si>
    <t>30 à 34 ans</t>
  </si>
  <si>
    <t>35 à 39 ans</t>
  </si>
  <si>
    <t>40 à 44 ans</t>
  </si>
  <si>
    <t>45 à 49 ans</t>
  </si>
  <si>
    <t>50 à 54 ans</t>
  </si>
  <si>
    <t>55 à 59 ans</t>
  </si>
  <si>
    <t>60 à 64 ans</t>
  </si>
  <si>
    <t>65 à 69 ans</t>
  </si>
  <si>
    <t xml:space="preserve">Tranches additionnelles </t>
  </si>
  <si>
    <t>Assurance vie des personnes à charge</t>
  </si>
  <si>
    <t>Choix en assurance vie des personnes à charge</t>
  </si>
  <si>
    <t>A - Pour la personne adhérente</t>
  </si>
  <si>
    <t>B - Pour la personne conjointe</t>
  </si>
  <si>
    <t>Adhérent</t>
  </si>
  <si>
    <t>Conjoint</t>
  </si>
  <si>
    <t>Choix adhérent</t>
  </si>
  <si>
    <t>Choix conjoint</t>
  </si>
  <si>
    <t>Couverture choisie</t>
  </si>
  <si>
    <t>Montant assuré:</t>
  </si>
  <si>
    <t>Couverture</t>
  </si>
  <si>
    <t>Âge adhérent</t>
  </si>
  <si>
    <t>Àge conjoint</t>
  </si>
  <si>
    <t>Taux par période de paie adhérent</t>
  </si>
  <si>
    <t>Taux par période de paie conjoint</t>
  </si>
  <si>
    <t>Tranches additionnelles prises avant le 1er janvier 2013</t>
  </si>
  <si>
    <t>Tranches additionnelles prises après le 1er janvier 2013</t>
  </si>
  <si>
    <t>Plan de protection</t>
  </si>
  <si>
    <t>Protection de base (module A)</t>
  </si>
  <si>
    <t>Protection régulière (module B)</t>
  </si>
  <si>
    <t>Protection enrichie (module C)</t>
  </si>
  <si>
    <t>Individuel</t>
  </si>
  <si>
    <t>Monoparental</t>
  </si>
  <si>
    <t>Familial</t>
  </si>
  <si>
    <t>Coût par période de paie (14 jours) :</t>
  </si>
  <si>
    <t>Coût annuel (26 paies) :</t>
  </si>
  <si>
    <t>Taux possibles</t>
  </si>
  <si>
    <t>LaSalle</t>
  </si>
  <si>
    <t>Les autres</t>
  </si>
  <si>
    <t>Taux possible</t>
  </si>
  <si>
    <t>Plan de protection (identique à l'assurance maladie)</t>
  </si>
  <si>
    <t>(arrondi au plus près 500$)</t>
  </si>
  <si>
    <t>Coût total</t>
  </si>
  <si>
    <t>Taxe de 9% :</t>
  </si>
  <si>
    <t>Coût total par période de paie (14 jours) incluant la taxe :</t>
  </si>
  <si>
    <t>Coût annuel (26 paies) incluant la taxe :</t>
  </si>
  <si>
    <t>Choix de protection</t>
  </si>
  <si>
    <t>Protection de base (Option 1)</t>
  </si>
  <si>
    <t>Protection enrichie (Option 2)</t>
  </si>
  <si>
    <t>Je souscris l'assurance vie de base</t>
  </si>
  <si>
    <t>Je souscris l'assurance vie des personnes à charge</t>
  </si>
  <si>
    <t>Je souscris l'assurance invalidité de longue durée</t>
  </si>
  <si>
    <t>Moins de 65 ans</t>
  </si>
  <si>
    <t>Entre 65 ans et 70 ans</t>
  </si>
  <si>
    <t>70 ans ou plus</t>
  </si>
  <si>
    <t>Tarifs 2012</t>
  </si>
  <si>
    <t xml:space="preserve">Plan individuel </t>
  </si>
  <si>
    <t>Plan monoparental</t>
  </si>
  <si>
    <t xml:space="preserve">Plan familial </t>
  </si>
  <si>
    <t xml:space="preserve">Plan couple </t>
  </si>
  <si>
    <t>Tarif 2013</t>
  </si>
  <si>
    <t>Tarif 2012 avec taxe</t>
  </si>
  <si>
    <t>Tarif 2013 avec taxe</t>
  </si>
  <si>
    <t>65 ans ou plus avec RAMQ</t>
  </si>
  <si>
    <t xml:space="preserve">Plan monoparental </t>
  </si>
  <si>
    <t>Tarif 2013 sans taxe</t>
  </si>
  <si>
    <t>65 ans ou plus sans RAMQ</t>
  </si>
  <si>
    <t>moy</t>
  </si>
  <si>
    <t>Soins dentaires</t>
  </si>
  <si>
    <t>tarif 2012</t>
  </si>
  <si>
    <t>Module A +  1</t>
  </si>
  <si>
    <t>Module B + 1</t>
  </si>
  <si>
    <t>Module C + 1</t>
  </si>
  <si>
    <t>Module C + 2</t>
  </si>
  <si>
    <t>Courte durée</t>
  </si>
  <si>
    <t>Longue durée</t>
  </si>
  <si>
    <t>Tarif 2012</t>
  </si>
  <si>
    <t>Primes annuelles</t>
  </si>
  <si>
    <t>vie de base</t>
  </si>
  <si>
    <t>salaire</t>
  </si>
  <si>
    <t>tous</t>
  </si>
  <si>
    <t>Primes par paie</t>
  </si>
  <si>
    <t>Pourcentage de hausse par rapport à 2012</t>
  </si>
  <si>
    <t>Pourcentage des modules par rapport à 2013</t>
  </si>
  <si>
    <t>Tarif 2012 + Tx</t>
  </si>
  <si>
    <t>tarif 2013</t>
  </si>
  <si>
    <t>Assurance maladie pour les adhérents de 65 ans ou plus</t>
  </si>
  <si>
    <t>Adhérents de 65 ans ou plus inscrits à la RAMQ</t>
  </si>
  <si>
    <t>Taux 2012</t>
  </si>
  <si>
    <t xml:space="preserve">Module A </t>
  </si>
  <si>
    <t>Taux en 2013</t>
  </si>
  <si>
    <t>Taux par période de 14 jours</t>
  </si>
  <si>
    <t>Variation en pourcentage par rapport à 2012</t>
  </si>
  <si>
    <t>Adhérents de 65 ans ou plus non inscrits à la RAMQ</t>
  </si>
  <si>
    <t>Tableau estimé pour 2013</t>
  </si>
  <si>
    <t>Renouvellement estimé pour 2013</t>
  </si>
  <si>
    <t>Moins de 65 ans: 5,5%</t>
  </si>
  <si>
    <t>65 ans ou plus avec RAMQ: 5,5%</t>
  </si>
  <si>
    <t>65 ans ou plus sans RAMQ: 10%</t>
  </si>
  <si>
    <t>Vie de base</t>
  </si>
  <si>
    <t>Maladies graves</t>
  </si>
  <si>
    <t>Taux par période de 14 jours pour 1000$ d'assurance vie</t>
  </si>
  <si>
    <t>Montant payé</t>
  </si>
  <si>
    <t>Syndicat des professeurs du Collège Antoine-Girouard</t>
  </si>
  <si>
    <t>Syndicat professionnel des enseignants du Séminaire de Chicoutimi</t>
  </si>
  <si>
    <t>Syndicat des employés du Centre d'intégration scolaire</t>
  </si>
  <si>
    <r>
      <t xml:space="preserve">Syndicat des professeurs du Collège </t>
    </r>
    <r>
      <rPr>
        <sz val="11"/>
        <color theme="1"/>
        <rFont val="Calibri"/>
        <family val="2"/>
        <scheme val="minor"/>
      </rPr>
      <t>François-de-Laval</t>
    </r>
  </si>
  <si>
    <t>Syndicat des professeurs laïcs du Collège Sainte-Anne-de-la-Pocatière</t>
  </si>
  <si>
    <t>Syndicat des enseignantes et enseignants du Collège Lasalle - CSN</t>
  </si>
  <si>
    <t>Syndicat des enseignant-e-s du Collège de Lévis</t>
  </si>
  <si>
    <t>Syndicat des employés du Collège Mont-Royal</t>
  </si>
  <si>
    <t>Syndicat du personnel du Collège Notre-Dame-de-Lourdes</t>
  </si>
  <si>
    <t>Syndicat des professeurs du Collège Notre-Dame-du-Sacré-Coeur</t>
  </si>
  <si>
    <t>Syndicat des enseignant-e-s du Séminaire Saint-François</t>
  </si>
  <si>
    <t>Syndicat des professeurs de l'Externat Saint-Jean-Eudes</t>
  </si>
  <si>
    <t xml:space="preserve"> </t>
  </si>
  <si>
    <t>Salaire annuel:</t>
  </si>
  <si>
    <t>L'assurance vie additionnelle n'est plus disponible à compter de l'âge de 70 ans.</t>
  </si>
  <si>
    <t>Pour souscrire une assurance vie additionnelle vous devez avoir une protection en assurance vie de base correspondant à une fois votre salaire annuel.</t>
  </si>
  <si>
    <t>Pour souscrire une assurance vie additionnelle vous devez avoir une protection en assurance vie de base correspondant à deux fois votre salaire annuel.</t>
  </si>
  <si>
    <t>(cette protection inclut une assurance maladies graves)</t>
  </si>
  <si>
    <t xml:space="preserve">          </t>
  </si>
  <si>
    <t xml:space="preserve">Catégorie d'âge   </t>
  </si>
  <si>
    <t>Taux par période de paie pour l'assurance maladies graves :</t>
  </si>
  <si>
    <t>Syndicat des chargé-es de cours de l'éducation aux adultes de l'Université Concordia</t>
  </si>
  <si>
    <t>Syndicat des tuteurs et des tutrices de la Télé-université Montréal - Québec</t>
  </si>
  <si>
    <t>Taux par période de 14 jours pour 1000$ d'assurance :</t>
  </si>
  <si>
    <t>Pour souscrire une assurance vie additionnelle pour la personne conjointe, vous devez avoir une protection pour les personnes à charge.</t>
  </si>
  <si>
    <t>Pour souscrire une assurance vie additionnelle pour la personne conjointe, vous devez avoir une protection en assurance vie de base .</t>
  </si>
  <si>
    <t>Cette assurance est fortement recommandée aux non permanents des cégeps et est obligatoire pour presque tous les autres membres des syndicats qui y participent.</t>
  </si>
  <si>
    <t>Concordia</t>
  </si>
  <si>
    <t xml:space="preserve">Je souscris l'assurance vie additionnelle </t>
  </si>
  <si>
    <t xml:space="preserve">   Tranches additionnelles prises avant le 1er janvier 2013</t>
  </si>
  <si>
    <t xml:space="preserve">   Tranches additionnelles prises après le 1er janvier 2013</t>
  </si>
  <si>
    <t xml:space="preserve">Couverture choisie: </t>
  </si>
  <si>
    <t xml:space="preserve">Salaire annuel : </t>
  </si>
  <si>
    <t xml:space="preserve">Salaire annuel :  </t>
  </si>
  <si>
    <t>Contactez votre syndicat pour de plus amples informations.</t>
  </si>
  <si>
    <t xml:space="preserve">Couverture additionnelle totale: </t>
  </si>
  <si>
    <t xml:space="preserve">Coût par période de paie (14 jours) : </t>
  </si>
  <si>
    <t xml:space="preserve">Coût annuel (26 paies) : </t>
  </si>
  <si>
    <t xml:space="preserve">Coût total par période de paie avant la contribution de l'employeur: </t>
  </si>
  <si>
    <t>Note: dans les cégeps, la contribution de l'employeur est nulle mais il assume entièrement l'assurance invalidité de courte durée</t>
  </si>
  <si>
    <t xml:space="preserve">Contribution de votre employeur par période de paie : </t>
  </si>
  <si>
    <t>Deux fois le salaire annuel</t>
  </si>
  <si>
    <t>Salaire arrondi à 500$</t>
  </si>
  <si>
    <r>
      <rPr>
        <b/>
        <u/>
        <sz val="14"/>
        <rFont val="Calibri"/>
        <family val="2"/>
        <scheme val="minor"/>
      </rPr>
      <t>Avis</t>
    </r>
    <r>
      <rPr>
        <b/>
        <sz val="11"/>
        <rFont val="Calibri"/>
        <family val="2"/>
        <scheme val="minor"/>
      </rPr>
      <t xml:space="preserve">
</t>
    </r>
    <r>
      <rPr>
        <b/>
        <sz val="12"/>
        <rFont val="Calibri"/>
        <family val="2"/>
        <scheme val="minor"/>
      </rPr>
      <t>Ce calculateur pour le coût des assurances ne fournit qu’une estimation du coût des protections choisies. Les renseignements s’y trouvant et les résultats obtenus ne servent que de guide afin de permettre au participant d’effectuer son choix. Par conséquent, l’estimation obtenue n’a aucune valeur légale et ne lie en aucun cas l’assureur La Capitale ou la FNEEQ-CSN.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</si>
</sst>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quot;$&quot;_);[Red]\(#,##0\ &quot;$&quot;\)"/>
    <numFmt numFmtId="165" formatCode="_ * #,##0.00_)\ &quot;$&quot;_ ;_ * \(#,##0.00\)\ &quot;$&quot;_ ;_ * &quot;-&quot;??_)\ &quot;$&quot;_ ;_ @_ "/>
    <numFmt numFmtId="166" formatCode="_ * #,##0.000_)\ &quot;$&quot;_ ;_ * \(#,##0.000\)\ &quot;$&quot;_ ;_ * &quot;-&quot;???_)\ &quot;$&quot;_ ;_ @_ "/>
    <numFmt numFmtId="167" formatCode="_ * #,##0.0000_)\ &quot;$&quot;_ ;_ * \(#,##0.0000\)\ &quot;$&quot;_ ;_ * &quot;-&quot;???_)\ &quot;$&quot;_ ;_ @_ "/>
    <numFmt numFmtId="168" formatCode="_ * #,##0_)\ &quot;$&quot;_ ;_ * \(#,##0\)\ &quot;$&quot;_ ;_ * &quot;-&quot;??_)\ &quot;$&quot;_ ;_ @_ "/>
    <numFmt numFmtId="169" formatCode="_ * #,##0.000_)\ &quot;$&quot;_ ;_ * \(#,##0.000\)\ &quot;$&quot;_ ;_ * &quot;-&quot;??_)\ &quot;$&quot;_ ;_ @_ "/>
    <numFmt numFmtId="170" formatCode="_ * #,##0.000000_)\ &quot;$&quot;_ ;_ * \(#,##0.000000\)\ &quot;$&quot;_ ;_ * &quot;-&quot;??_)\ &quot;$&quot;_ ;_ @_ "/>
    <numFmt numFmtId="171" formatCode="0.0%"/>
    <numFmt numFmtId="172" formatCode="0.0000"/>
    <numFmt numFmtId="173" formatCode="_ * #,##0.00_)\ &quot;$&quot;_ ;_ * \(#,##0.00\)\ &quot;$&quot;_ ;_ * &quot;-&quot;???_)\ &quot;$&quot;_ ;_ @_ "/>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6"/>
      <color theme="1"/>
      <name val="Calibri"/>
      <family val="2"/>
      <scheme val="minor"/>
    </font>
    <font>
      <b/>
      <sz val="26"/>
      <color theme="1"/>
      <name val="Calibri"/>
      <family val="2"/>
      <scheme val="minor"/>
    </font>
    <font>
      <b/>
      <sz val="16"/>
      <color theme="1"/>
      <name val="Calibri"/>
      <family val="2"/>
      <scheme val="minor"/>
    </font>
    <font>
      <sz val="10"/>
      <color theme="1"/>
      <name val="Calibri"/>
      <family val="2"/>
      <scheme val="minor"/>
    </font>
    <font>
      <b/>
      <sz val="10"/>
      <color rgb="FFFF0000"/>
      <name val="Calibri"/>
      <family val="2"/>
      <scheme val="minor"/>
    </font>
    <font>
      <b/>
      <sz val="28"/>
      <color theme="1"/>
      <name val="Calibri"/>
      <family val="2"/>
      <scheme val="minor"/>
    </font>
    <font>
      <b/>
      <sz val="10"/>
      <color rgb="FF002060"/>
      <name val="Calibri"/>
      <family val="2"/>
      <scheme val="minor"/>
    </font>
    <font>
      <b/>
      <sz val="11"/>
      <color rgb="FFFF0000"/>
      <name val="Calibri"/>
      <family val="2"/>
      <scheme val="minor"/>
    </font>
    <font>
      <sz val="10"/>
      <color theme="1"/>
      <name val="Arial"/>
      <family val="2"/>
    </font>
    <font>
      <sz val="11"/>
      <color rgb="FF0070C0"/>
      <name val="Calibri"/>
      <family val="2"/>
      <scheme val="minor"/>
    </font>
    <font>
      <b/>
      <sz val="12"/>
      <color theme="1"/>
      <name val="Calibri"/>
      <family val="2"/>
      <scheme val="minor"/>
    </font>
    <font>
      <b/>
      <sz val="18"/>
      <color theme="1"/>
      <name val="Calibri"/>
      <family val="2"/>
      <scheme val="minor"/>
    </font>
    <font>
      <b/>
      <sz val="13"/>
      <color rgb="FFC80000"/>
      <name val="Calibri"/>
      <family val="2"/>
      <scheme val="minor"/>
    </font>
    <font>
      <b/>
      <sz val="11"/>
      <color rgb="FFC80000"/>
      <name val="Calibri"/>
      <family val="2"/>
      <scheme val="minor"/>
    </font>
    <font>
      <b/>
      <sz val="12"/>
      <color rgb="FFC80000"/>
      <name val="Calibri"/>
      <family val="2"/>
      <scheme val="minor"/>
    </font>
    <font>
      <sz val="12"/>
      <color theme="1"/>
      <name val="Calibri"/>
      <family val="2"/>
      <scheme val="minor"/>
    </font>
    <font>
      <b/>
      <sz val="11"/>
      <color rgb="FFC00000"/>
      <name val="Calibri"/>
      <family val="2"/>
      <scheme val="minor"/>
    </font>
    <font>
      <b/>
      <sz val="11"/>
      <name val="Calibri"/>
      <family val="2"/>
      <scheme val="minor"/>
    </font>
    <font>
      <b/>
      <u/>
      <sz val="14"/>
      <name val="Calibri"/>
      <family val="2"/>
      <scheme val="minor"/>
    </font>
    <font>
      <b/>
      <sz val="12"/>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89CCCC"/>
        <bgColor indexed="64"/>
      </patternFill>
    </fill>
    <fill>
      <patternFill patternType="solid">
        <fgColor rgb="FFECECCB"/>
        <bgColor indexed="64"/>
      </patternFill>
    </fill>
    <fill>
      <patternFill patternType="solid">
        <fgColor rgb="FFECECEC"/>
        <bgColor indexed="64"/>
      </patternFill>
    </fill>
    <fill>
      <patternFill patternType="solid">
        <fgColor rgb="FFFFFFFF"/>
        <bgColor indexed="64"/>
      </patternFill>
    </fill>
  </fills>
  <borders count="5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right/>
      <top/>
      <bottom style="dashed">
        <color auto="1"/>
      </bottom>
      <diagonal/>
    </border>
    <border>
      <left/>
      <right style="thin">
        <color auto="1"/>
      </right>
      <top/>
      <bottom style="dashed">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double">
        <color auto="1"/>
      </left>
      <right style="medium">
        <color auto="1"/>
      </right>
      <top style="medium">
        <color auto="1"/>
      </top>
      <bottom style="medium">
        <color auto="1"/>
      </bottom>
      <diagonal/>
    </border>
    <border>
      <left style="double">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Dashed">
        <color auto="1"/>
      </left>
      <right/>
      <top style="thin">
        <color auto="1"/>
      </top>
      <bottom/>
      <diagonal/>
    </border>
    <border>
      <left/>
      <right style="mediumDashed">
        <color auto="1"/>
      </right>
      <top style="thin">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239">
    <xf numFmtId="0" fontId="0" fillId="0" borderId="0" xfId="0"/>
    <xf numFmtId="0" fontId="2" fillId="0" borderId="0" xfId="0" applyFont="1"/>
    <xf numFmtId="165" fontId="0" fillId="0" borderId="0" xfId="1" applyFont="1"/>
    <xf numFmtId="165" fontId="0" fillId="0" borderId="0" xfId="0" applyNumberFormat="1"/>
    <xf numFmtId="0" fontId="0" fillId="0" borderId="0" xfId="0" applyAlignment="1">
      <alignment horizontal="right"/>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8" xfId="0" applyBorder="1"/>
    <xf numFmtId="0" fontId="0" fillId="0" borderId="0" xfId="0" applyFill="1" applyBorder="1" applyAlignment="1">
      <alignment horizontal="right"/>
    </xf>
    <xf numFmtId="0" fontId="0" fillId="0" borderId="0" xfId="0" applyFont="1"/>
    <xf numFmtId="168" fontId="0" fillId="0" borderId="0" xfId="1" applyNumberFormat="1" applyFont="1"/>
    <xf numFmtId="165" fontId="0" fillId="3" borderId="4" xfId="1" applyFont="1" applyFill="1" applyBorder="1"/>
    <xf numFmtId="165" fontId="0" fillId="3" borderId="0" xfId="1" applyFont="1" applyFill="1" applyBorder="1"/>
    <xf numFmtId="165" fontId="0" fillId="3" borderId="6" xfId="1" applyFont="1" applyFill="1" applyBorder="1"/>
    <xf numFmtId="165" fontId="0" fillId="3" borderId="7" xfId="1" applyFont="1" applyFill="1" applyBorder="1"/>
    <xf numFmtId="169" fontId="0" fillId="3" borderId="0" xfId="1" applyNumberFormat="1" applyFont="1" applyFill="1"/>
    <xf numFmtId="165" fontId="0" fillId="3" borderId="0" xfId="1" applyFont="1" applyFill="1"/>
    <xf numFmtId="0" fontId="0" fillId="3" borderId="0" xfId="0" applyFill="1"/>
    <xf numFmtId="0" fontId="0" fillId="2" borderId="0" xfId="0" applyFill="1"/>
    <xf numFmtId="1" fontId="0" fillId="0" borderId="0" xfId="0" applyNumberFormat="1"/>
    <xf numFmtId="164" fontId="11" fillId="0" borderId="13" xfId="0" applyNumberFormat="1" applyFont="1" applyBorder="1" applyAlignment="1">
      <alignment vertical="top" wrapText="1"/>
    </xf>
    <xf numFmtId="0" fontId="11" fillId="0" borderId="14" xfId="0" applyFont="1" applyBorder="1" applyAlignment="1">
      <alignment vertical="top" wrapText="1"/>
    </xf>
    <xf numFmtId="164" fontId="11" fillId="0" borderId="15" xfId="0" applyNumberFormat="1" applyFont="1" applyBorder="1" applyAlignment="1">
      <alignment vertical="top" wrapText="1"/>
    </xf>
    <xf numFmtId="1" fontId="0" fillId="0" borderId="16" xfId="0" applyNumberFormat="1" applyBorder="1"/>
    <xf numFmtId="0" fontId="11" fillId="0" borderId="17" xfId="0" applyFont="1" applyBorder="1" applyAlignment="1">
      <alignment vertical="top" wrapText="1"/>
    </xf>
    <xf numFmtId="1" fontId="0" fillId="0" borderId="18" xfId="0" applyNumberFormat="1" applyBorder="1"/>
    <xf numFmtId="0" fontId="11" fillId="0" borderId="19" xfId="0" applyFont="1" applyBorder="1" applyAlignment="1">
      <alignment vertical="top" wrapText="1"/>
    </xf>
    <xf numFmtId="164" fontId="11" fillId="0" borderId="20" xfId="0" applyNumberFormat="1" applyFont="1" applyBorder="1" applyAlignment="1">
      <alignment vertical="top" wrapText="1"/>
    </xf>
    <xf numFmtId="1" fontId="0" fillId="0" borderId="9" xfId="0" applyNumberFormat="1" applyBorder="1"/>
    <xf numFmtId="164" fontId="11" fillId="0" borderId="15" xfId="0" applyNumberFormat="1" applyFont="1" applyBorder="1" applyAlignment="1">
      <alignment vertical="center" wrapText="1"/>
    </xf>
    <xf numFmtId="164" fontId="11" fillId="0" borderId="13" xfId="0" applyNumberFormat="1" applyFont="1" applyBorder="1" applyAlignment="1">
      <alignment vertical="center" wrapText="1"/>
    </xf>
    <xf numFmtId="164" fontId="11" fillId="0" borderId="20" xfId="0" applyNumberFormat="1" applyFont="1" applyBorder="1" applyAlignment="1">
      <alignment vertical="center" wrapText="1"/>
    </xf>
    <xf numFmtId="9" fontId="0" fillId="0" borderId="0" xfId="2" applyFont="1"/>
    <xf numFmtId="0" fontId="11" fillId="0" borderId="0" xfId="0" applyFont="1" applyFill="1" applyBorder="1" applyAlignment="1">
      <alignment vertical="top" wrapText="1"/>
    </xf>
    <xf numFmtId="9" fontId="0" fillId="0" borderId="0" xfId="2" applyNumberFormat="1" applyFont="1"/>
    <xf numFmtId="9" fontId="0" fillId="0" borderId="0" xfId="0" applyNumberFormat="1"/>
    <xf numFmtId="0" fontId="0" fillId="0" borderId="13" xfId="0" applyBorder="1"/>
    <xf numFmtId="0" fontId="0" fillId="0" borderId="15" xfId="0" applyBorder="1"/>
    <xf numFmtId="0" fontId="0" fillId="0" borderId="20" xfId="0" applyBorder="1"/>
    <xf numFmtId="168" fontId="0" fillId="0" borderId="0" xfId="0" applyNumberFormat="1"/>
    <xf numFmtId="10" fontId="0" fillId="0" borderId="0" xfId="2" applyNumberFormat="1" applyFont="1"/>
    <xf numFmtId="171" fontId="0" fillId="0" borderId="0" xfId="0" applyNumberFormat="1"/>
    <xf numFmtId="0" fontId="12" fillId="0" borderId="0" xfId="0" applyFont="1"/>
    <xf numFmtId="168" fontId="12" fillId="0" borderId="0" xfId="1" applyNumberFormat="1" applyFont="1"/>
    <xf numFmtId="0" fontId="13" fillId="0" borderId="0" xfId="0" applyFont="1"/>
    <xf numFmtId="0" fontId="14" fillId="0" borderId="0" xfId="0" applyFont="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168" fontId="0" fillId="0" borderId="13" xfId="1" applyNumberFormat="1" applyFont="1" applyBorder="1"/>
    <xf numFmtId="168" fontId="0" fillId="0" borderId="18" xfId="1" applyNumberFormat="1" applyFont="1" applyBorder="1"/>
    <xf numFmtId="168" fontId="0" fillId="0" borderId="20" xfId="1" applyNumberFormat="1" applyFont="1" applyBorder="1"/>
    <xf numFmtId="168" fontId="0" fillId="0" borderId="9" xfId="1" applyNumberFormat="1" applyFont="1" applyBorder="1"/>
    <xf numFmtId="168" fontId="0" fillId="0" borderId="29" xfId="1" applyNumberFormat="1" applyFont="1" applyBorder="1"/>
    <xf numFmtId="168" fontId="0" fillId="0" borderId="30" xfId="1" applyNumberFormat="1" applyFont="1" applyBorder="1"/>
    <xf numFmtId="0" fontId="2" fillId="0" borderId="32" xfId="0" applyFont="1" applyBorder="1"/>
    <xf numFmtId="0" fontId="2" fillId="0" borderId="33" xfId="0" applyFont="1" applyBorder="1"/>
    <xf numFmtId="0" fontId="0" fillId="0" borderId="14" xfId="0" applyBorder="1"/>
    <xf numFmtId="0" fontId="0" fillId="0" borderId="16" xfId="0" applyBorder="1"/>
    <xf numFmtId="9" fontId="0" fillId="0" borderId="19" xfId="0" applyNumberFormat="1" applyBorder="1"/>
    <xf numFmtId="9" fontId="0" fillId="0" borderId="20" xfId="0" applyNumberFormat="1" applyBorder="1"/>
    <xf numFmtId="9" fontId="0" fillId="0" borderId="9" xfId="0" applyNumberFormat="1" applyBorder="1"/>
    <xf numFmtId="0" fontId="2" fillId="0" borderId="22" xfId="0" applyFont="1" applyBorder="1"/>
    <xf numFmtId="164" fontId="11" fillId="0" borderId="34" xfId="0" applyNumberFormat="1" applyFont="1" applyBorder="1" applyAlignment="1">
      <alignment wrapText="1"/>
    </xf>
    <xf numFmtId="164" fontId="11" fillId="0" borderId="10" xfId="0" applyNumberFormat="1" applyFont="1" applyBorder="1" applyAlignment="1">
      <alignment wrapText="1"/>
    </xf>
    <xf numFmtId="0" fontId="2" fillId="0" borderId="35" xfId="0" applyFont="1" applyBorder="1"/>
    <xf numFmtId="164" fontId="11" fillId="0" borderId="36" xfId="0" applyNumberFormat="1" applyFont="1" applyBorder="1" applyAlignment="1">
      <alignment wrapText="1"/>
    </xf>
    <xf numFmtId="168" fontId="0" fillId="0" borderId="8" xfId="1" applyNumberFormat="1" applyFont="1" applyBorder="1"/>
    <xf numFmtId="168" fontId="0" fillId="0" borderId="37" xfId="1" applyNumberFormat="1" applyFont="1" applyBorder="1"/>
    <xf numFmtId="168" fontId="0" fillId="0" borderId="38" xfId="1" applyNumberFormat="1" applyFont="1" applyBorder="1"/>
    <xf numFmtId="0" fontId="2" fillId="0" borderId="30" xfId="0" applyFont="1" applyBorder="1"/>
    <xf numFmtId="0" fontId="2" fillId="0" borderId="20" xfId="0" applyFont="1" applyBorder="1"/>
    <xf numFmtId="0" fontId="2" fillId="0" borderId="9" xfId="0" applyFont="1" applyBorder="1"/>
    <xf numFmtId="172" fontId="0" fillId="0" borderId="0" xfId="0" applyNumberFormat="1"/>
    <xf numFmtId="0" fontId="0" fillId="4" borderId="2" xfId="0" applyFill="1" applyBorder="1"/>
    <xf numFmtId="0" fontId="0" fillId="4" borderId="3" xfId="0" applyFill="1" applyBorder="1"/>
    <xf numFmtId="0" fontId="0" fillId="4" borderId="0" xfId="0" applyFill="1" applyBorder="1"/>
    <xf numFmtId="0" fontId="0" fillId="4" borderId="0" xfId="0" applyFill="1" applyBorder="1" applyAlignment="1">
      <alignment vertical="center"/>
    </xf>
    <xf numFmtId="0" fontId="0" fillId="4" borderId="5" xfId="0" applyFill="1" applyBorder="1"/>
    <xf numFmtId="0" fontId="0" fillId="4" borderId="6" xfId="0" applyFill="1" applyBorder="1"/>
    <xf numFmtId="0" fontId="0" fillId="4" borderId="7" xfId="0" applyFill="1" applyBorder="1"/>
    <xf numFmtId="0" fontId="0" fillId="4" borderId="7" xfId="0" applyFill="1" applyBorder="1" applyAlignment="1">
      <alignment vertical="center"/>
    </xf>
    <xf numFmtId="0" fontId="0" fillId="4" borderId="8" xfId="0" applyFill="1" applyBorder="1"/>
    <xf numFmtId="0" fontId="5" fillId="4" borderId="2" xfId="0" applyFont="1" applyFill="1" applyBorder="1"/>
    <xf numFmtId="0" fontId="3" fillId="4" borderId="0" xfId="0" applyFont="1" applyFill="1" applyBorder="1"/>
    <xf numFmtId="0" fontId="0" fillId="4" borderId="1" xfId="0" applyFill="1" applyBorder="1"/>
    <xf numFmtId="0" fontId="0" fillId="4" borderId="4" xfId="0" applyFill="1" applyBorder="1"/>
    <xf numFmtId="0" fontId="0" fillId="5" borderId="0" xfId="0" applyFill="1"/>
    <xf numFmtId="0" fontId="6" fillId="4" borderId="2" xfId="0" applyFont="1" applyFill="1" applyBorder="1"/>
    <xf numFmtId="0" fontId="0" fillId="4" borderId="2" xfId="0" applyFill="1" applyBorder="1" applyAlignment="1">
      <alignment vertical="center"/>
    </xf>
    <xf numFmtId="166" fontId="0" fillId="4" borderId="0" xfId="0" applyNumberFormat="1" applyFill="1" applyBorder="1" applyAlignment="1">
      <alignment vertical="center"/>
    </xf>
    <xf numFmtId="0" fontId="0" fillId="4" borderId="0" xfId="0" applyFill="1" applyBorder="1" applyAlignment="1">
      <alignment horizontal="left"/>
    </xf>
    <xf numFmtId="0" fontId="6" fillId="4" borderId="0" xfId="0" applyFont="1" applyFill="1" applyBorder="1" applyAlignment="1">
      <alignment vertical="top"/>
    </xf>
    <xf numFmtId="0" fontId="7" fillId="4" borderId="0" xfId="0" applyFont="1" applyFill="1" applyBorder="1"/>
    <xf numFmtId="0" fontId="5" fillId="4" borderId="0" xfId="0" applyFont="1" applyFill="1" applyBorder="1"/>
    <xf numFmtId="0" fontId="0" fillId="0" borderId="6" xfId="0" applyBorder="1"/>
    <xf numFmtId="0" fontId="15" fillId="4" borderId="0" xfId="0" applyFont="1" applyFill="1" applyBorder="1"/>
    <xf numFmtId="0" fontId="0" fillId="4" borderId="0" xfId="0" applyFill="1" applyBorder="1" applyAlignment="1">
      <alignment vertical="top"/>
    </xf>
    <xf numFmtId="0" fontId="8" fillId="4" borderId="0" xfId="0" applyFont="1" applyFill="1" applyBorder="1" applyAlignment="1">
      <alignment horizontal="center" vertical="center"/>
    </xf>
    <xf numFmtId="0" fontId="2" fillId="4" borderId="0" xfId="0" applyFont="1" applyFill="1" applyBorder="1" applyAlignment="1">
      <alignment horizontal="right" vertical="center"/>
    </xf>
    <xf numFmtId="0" fontId="0" fillId="6" borderId="1" xfId="0" applyFill="1" applyBorder="1"/>
    <xf numFmtId="0" fontId="5" fillId="6" borderId="2" xfId="0" applyFont="1" applyFill="1" applyBorder="1"/>
    <xf numFmtId="0" fontId="0" fillId="6" borderId="2" xfId="0" applyFill="1" applyBorder="1"/>
    <xf numFmtId="0" fontId="0" fillId="6" borderId="3" xfId="0" applyFill="1" applyBorder="1"/>
    <xf numFmtId="0" fontId="0" fillId="6" borderId="4" xfId="0" applyFill="1" applyBorder="1"/>
    <xf numFmtId="0" fontId="3" fillId="6" borderId="0" xfId="0" applyFont="1" applyFill="1" applyBorder="1"/>
    <xf numFmtId="0" fontId="0" fillId="6" borderId="0" xfId="0" applyFill="1" applyBorder="1"/>
    <xf numFmtId="0" fontId="0" fillId="6" borderId="0" xfId="0" applyFill="1"/>
    <xf numFmtId="0" fontId="0" fillId="6" borderId="0" xfId="0" applyFill="1" applyBorder="1" applyAlignment="1">
      <alignment vertical="center"/>
    </xf>
    <xf numFmtId="0" fontId="0" fillId="6" borderId="0" xfId="0" applyFill="1" applyAlignment="1">
      <alignment vertical="center"/>
    </xf>
    <xf numFmtId="0" fontId="0" fillId="6" borderId="5" xfId="0" applyFill="1" applyBorder="1"/>
    <xf numFmtId="170" fontId="0" fillId="6" borderId="0" xfId="0" applyNumberFormat="1" applyFill="1" applyBorder="1" applyAlignment="1"/>
    <xf numFmtId="0" fontId="0" fillId="6" borderId="0" xfId="0" applyFill="1" applyBorder="1" applyAlignment="1"/>
    <xf numFmtId="0" fontId="0" fillId="6" borderId="6" xfId="0" applyFill="1" applyBorder="1"/>
    <xf numFmtId="0" fontId="0" fillId="6" borderId="7" xfId="0" applyFill="1" applyBorder="1"/>
    <xf numFmtId="0" fontId="0" fillId="6" borderId="7" xfId="0" applyFill="1" applyBorder="1" applyAlignment="1">
      <alignment vertical="center"/>
    </xf>
    <xf numFmtId="0" fontId="0" fillId="6" borderId="8" xfId="0" applyFill="1" applyBorder="1"/>
    <xf numFmtId="0" fontId="9" fillId="6" borderId="2" xfId="0" applyFont="1" applyFill="1" applyBorder="1"/>
    <xf numFmtId="0" fontId="0" fillId="6" borderId="2" xfId="0" applyFill="1" applyBorder="1" applyAlignment="1">
      <alignment vertical="center"/>
    </xf>
    <xf numFmtId="166" fontId="0" fillId="6" borderId="0" xfId="0" applyNumberFormat="1" applyFill="1" applyBorder="1" applyAlignment="1">
      <alignment vertical="center"/>
    </xf>
    <xf numFmtId="166" fontId="0" fillId="6" borderId="0" xfId="0" applyNumberFormat="1" applyFill="1" applyBorder="1" applyAlignment="1"/>
    <xf numFmtId="0" fontId="16" fillId="6" borderId="0" xfId="0" applyFont="1" applyFill="1" applyBorder="1" applyAlignment="1">
      <alignment vertical="top"/>
    </xf>
    <xf numFmtId="0" fontId="0" fillId="6" borderId="0" xfId="0" applyFill="1" applyBorder="1" applyAlignment="1">
      <alignment vertical="top"/>
    </xf>
    <xf numFmtId="0" fontId="0" fillId="6" borderId="0" xfId="0" applyFill="1" applyBorder="1" applyAlignment="1">
      <alignment horizontal="left" vertical="center" wrapText="1"/>
    </xf>
    <xf numFmtId="166" fontId="0" fillId="6" borderId="0" xfId="0" applyNumberFormat="1" applyFill="1" applyBorder="1" applyAlignment="1">
      <alignment horizontal="right" vertical="center"/>
    </xf>
    <xf numFmtId="0" fontId="0" fillId="6" borderId="7" xfId="0" applyFill="1" applyBorder="1" applyAlignment="1">
      <alignment horizontal="right" vertical="center"/>
    </xf>
    <xf numFmtId="0" fontId="10" fillId="6" borderId="7" xfId="0" applyFont="1" applyFill="1" applyBorder="1"/>
    <xf numFmtId="0" fontId="7" fillId="6" borderId="7" xfId="0" applyFont="1" applyFill="1" applyBorder="1" applyAlignment="1">
      <alignment vertical="top"/>
    </xf>
    <xf numFmtId="0" fontId="5" fillId="6" borderId="0" xfId="0" applyFont="1" applyFill="1" applyBorder="1"/>
    <xf numFmtId="0" fontId="0" fillId="6" borderId="0" xfId="0" applyFill="1" applyBorder="1" applyAlignment="1">
      <alignment vertical="top" wrapText="1"/>
    </xf>
    <xf numFmtId="165" fontId="0" fillId="6" borderId="0" xfId="0" applyNumberFormat="1" applyFill="1" applyBorder="1" applyAlignment="1">
      <alignment vertical="center"/>
    </xf>
    <xf numFmtId="0" fontId="0" fillId="6" borderId="11" xfId="0" applyFill="1" applyBorder="1"/>
    <xf numFmtId="0" fontId="0" fillId="6" borderId="11" xfId="0" applyFill="1" applyBorder="1" applyAlignment="1">
      <alignment vertical="top" wrapText="1"/>
    </xf>
    <xf numFmtId="0" fontId="0" fillId="6" borderId="11" xfId="0" applyFill="1" applyBorder="1" applyAlignment="1">
      <alignment vertical="center"/>
    </xf>
    <xf numFmtId="165" fontId="0" fillId="6" borderId="11" xfId="0" applyNumberFormat="1" applyFill="1" applyBorder="1" applyAlignment="1">
      <alignment vertical="center"/>
    </xf>
    <xf numFmtId="0" fontId="0" fillId="6" borderId="12" xfId="0" applyFill="1" applyBorder="1"/>
    <xf numFmtId="0" fontId="0" fillId="6" borderId="7" xfId="0" applyFill="1" applyBorder="1" applyAlignment="1">
      <alignment vertical="top" wrapText="1"/>
    </xf>
    <xf numFmtId="166" fontId="0" fillId="6" borderId="7" xfId="0" applyNumberFormat="1" applyFill="1" applyBorder="1" applyAlignment="1"/>
    <xf numFmtId="165" fontId="0" fillId="6" borderId="7" xfId="0" applyNumberFormat="1" applyFill="1" applyBorder="1" applyAlignment="1">
      <alignment vertical="center"/>
    </xf>
    <xf numFmtId="0" fontId="1" fillId="7" borderId="41" xfId="0" applyFont="1" applyFill="1" applyBorder="1"/>
    <xf numFmtId="0" fontId="0" fillId="7" borderId="42" xfId="0" applyFill="1" applyBorder="1"/>
    <xf numFmtId="0" fontId="1" fillId="7" borderId="42" xfId="0" applyFont="1" applyFill="1" applyBorder="1"/>
    <xf numFmtId="0" fontId="0" fillId="6" borderId="0" xfId="0" applyFill="1" applyBorder="1" applyAlignment="1">
      <alignment horizontal="left"/>
    </xf>
    <xf numFmtId="0" fontId="0" fillId="6" borderId="0" xfId="0" applyFill="1" applyBorder="1" applyAlignment="1">
      <alignment wrapText="1"/>
    </xf>
    <xf numFmtId="0" fontId="0" fillId="4" borderId="0" xfId="0" applyFill="1" applyBorder="1" applyAlignment="1">
      <alignment vertical="center" wrapText="1"/>
    </xf>
    <xf numFmtId="0" fontId="17" fillId="4" borderId="0" xfId="0" applyFont="1" applyFill="1" applyBorder="1"/>
    <xf numFmtId="166" fontId="0" fillId="6" borderId="0" xfId="0" applyNumberFormat="1" applyFill="1" applyBorder="1" applyAlignment="1">
      <alignment horizontal="left" vertical="center"/>
    </xf>
    <xf numFmtId="0" fontId="0" fillId="0" borderId="0" xfId="0" applyFill="1"/>
    <xf numFmtId="165" fontId="0" fillId="0" borderId="0" xfId="0" applyNumberFormat="1" applyFill="1"/>
    <xf numFmtId="0" fontId="0" fillId="7" borderId="0" xfId="0" applyFill="1" applyBorder="1"/>
    <xf numFmtId="0" fontId="0" fillId="6" borderId="0" xfId="0" applyFill="1" applyBorder="1" applyAlignment="1">
      <alignment horizontal="right" vertical="center"/>
    </xf>
    <xf numFmtId="0" fontId="0" fillId="6" borderId="0" xfId="0" applyFill="1" applyBorder="1" applyAlignment="1">
      <alignment horizontal="right"/>
    </xf>
    <xf numFmtId="0" fontId="0" fillId="6" borderId="0" xfId="0" applyFont="1" applyFill="1" applyBorder="1" applyAlignment="1">
      <alignment vertical="center"/>
    </xf>
    <xf numFmtId="0" fontId="8" fillId="4" borderId="0" xfId="0" applyFont="1" applyFill="1" applyBorder="1" applyAlignment="1">
      <alignment horizontal="center" vertical="center"/>
    </xf>
    <xf numFmtId="0" fontId="0" fillId="6" borderId="0" xfId="0" applyFill="1" applyBorder="1" applyAlignment="1">
      <alignment horizontal="center" wrapText="1"/>
    </xf>
    <xf numFmtId="0" fontId="0" fillId="0" borderId="2" xfId="0" applyBorder="1" applyAlignment="1">
      <alignment horizontal="center"/>
    </xf>
    <xf numFmtId="0" fontId="0" fillId="0" borderId="7" xfId="0" applyBorder="1" applyAlignment="1">
      <alignment horizontal="center"/>
    </xf>
    <xf numFmtId="165" fontId="0" fillId="6" borderId="45" xfId="0" applyNumberFormat="1" applyFill="1" applyBorder="1" applyAlignment="1">
      <alignment vertical="center"/>
    </xf>
    <xf numFmtId="165" fontId="0" fillId="4" borderId="45" xfId="0" applyNumberFormat="1" applyFill="1" applyBorder="1" applyAlignment="1">
      <alignment vertical="center"/>
    </xf>
    <xf numFmtId="165" fontId="0" fillId="4" borderId="33" xfId="0" applyNumberFormat="1" applyFill="1" applyBorder="1" applyAlignment="1">
      <alignment vertical="center"/>
    </xf>
    <xf numFmtId="165" fontId="0" fillId="6" borderId="33" xfId="0" applyNumberFormat="1" applyFill="1" applyBorder="1" applyAlignment="1">
      <alignment vertical="center"/>
    </xf>
    <xf numFmtId="168" fontId="0" fillId="6" borderId="45" xfId="0" applyNumberFormat="1" applyFill="1" applyBorder="1" applyAlignment="1">
      <alignment vertical="center"/>
    </xf>
    <xf numFmtId="166" fontId="0" fillId="6" borderId="45" xfId="0" applyNumberFormat="1" applyFill="1" applyBorder="1" applyAlignment="1">
      <alignment vertical="center"/>
    </xf>
    <xf numFmtId="165" fontId="2" fillId="4" borderId="45" xfId="0" applyNumberFormat="1" applyFont="1" applyFill="1" applyBorder="1" applyAlignment="1">
      <alignment vertical="center"/>
    </xf>
    <xf numFmtId="165" fontId="0" fillId="4" borderId="0" xfId="0" applyNumberFormat="1" applyFill="1" applyBorder="1" applyAlignment="1">
      <alignment vertical="center"/>
    </xf>
    <xf numFmtId="166" fontId="0" fillId="4" borderId="45" xfId="0" applyNumberFormat="1" applyFill="1" applyBorder="1" applyAlignment="1">
      <alignment vertical="center"/>
    </xf>
    <xf numFmtId="0" fontId="0" fillId="6" borderId="0" xfId="0" applyFill="1" applyBorder="1" applyAlignment="1">
      <alignment horizontal="left" vertical="center"/>
    </xf>
    <xf numFmtId="0" fontId="16" fillId="6" borderId="2" xfId="0" applyFont="1" applyFill="1" applyBorder="1" applyAlignment="1">
      <alignment horizontal="left" vertical="top" wrapText="1"/>
    </xf>
    <xf numFmtId="167" fontId="0" fillId="6" borderId="45" xfId="0" applyNumberFormat="1" applyFill="1" applyBorder="1" applyAlignment="1">
      <alignment vertical="center"/>
    </xf>
    <xf numFmtId="173" fontId="0" fillId="6" borderId="33" xfId="0" applyNumberFormat="1" applyFill="1" applyBorder="1" applyAlignment="1">
      <alignment vertical="center"/>
    </xf>
    <xf numFmtId="0" fontId="0" fillId="4" borderId="0" xfId="0" applyFill="1" applyBorder="1" applyAlignment="1">
      <alignment horizontal="right" vertical="center"/>
    </xf>
    <xf numFmtId="0" fontId="0" fillId="6" borderId="0" xfId="0" applyFill="1" applyAlignment="1">
      <alignment horizontal="right" vertical="center"/>
    </xf>
    <xf numFmtId="165" fontId="0" fillId="6" borderId="27" xfId="0" applyNumberFormat="1" applyFill="1" applyBorder="1" applyAlignment="1">
      <alignment vertical="center"/>
    </xf>
    <xf numFmtId="0" fontId="13" fillId="6" borderId="0" xfId="0" applyFont="1" applyFill="1" applyBorder="1" applyAlignment="1">
      <alignment horizontal="left" vertical="center"/>
    </xf>
    <xf numFmtId="0" fontId="0" fillId="4" borderId="5" xfId="0" applyFill="1" applyBorder="1" applyAlignment="1">
      <alignment horizontal="center" vertical="center"/>
    </xf>
    <xf numFmtId="0" fontId="0" fillId="4" borderId="25" xfId="0" applyFill="1" applyBorder="1" applyAlignment="1">
      <alignment horizontal="right" vertical="center"/>
    </xf>
    <xf numFmtId="0" fontId="19" fillId="4" borderId="0" xfId="0" applyFont="1" applyFill="1" applyBorder="1" applyAlignment="1">
      <alignment horizontal="right" vertical="center"/>
    </xf>
    <xf numFmtId="0" fontId="13" fillId="2" borderId="14" xfId="0" applyFont="1" applyFill="1" applyBorder="1" applyAlignment="1" applyProtection="1">
      <alignment horizontal="left" vertical="center"/>
      <protection locked="0"/>
    </xf>
    <xf numFmtId="168" fontId="13" fillId="2" borderId="14" xfId="1" applyNumberFormat="1" applyFont="1" applyFill="1" applyBorder="1" applyAlignment="1" applyProtection="1">
      <alignment horizontal="left" vertical="center"/>
      <protection locked="0"/>
    </xf>
    <xf numFmtId="165" fontId="0" fillId="2" borderId="49" xfId="1" applyFont="1" applyFill="1" applyBorder="1" applyAlignment="1" applyProtection="1">
      <alignment horizontal="center" vertical="center"/>
      <protection locked="0"/>
    </xf>
    <xf numFmtId="168" fontId="0" fillId="2" borderId="14" xfId="0" applyNumberFormat="1" applyFill="1" applyBorder="1" applyAlignment="1" applyProtection="1">
      <alignment vertical="center"/>
      <protection locked="0"/>
    </xf>
    <xf numFmtId="0" fontId="13" fillId="2" borderId="43" xfId="0" applyFont="1" applyFill="1" applyBorder="1" applyAlignment="1" applyProtection="1">
      <alignment horizontal="left" vertical="center"/>
      <protection locked="0"/>
    </xf>
    <xf numFmtId="0" fontId="13" fillId="2" borderId="44" xfId="0" applyFont="1" applyFill="1" applyBorder="1" applyAlignment="1" applyProtection="1">
      <alignment horizontal="left" vertical="center"/>
      <protection locked="0"/>
    </xf>
    <xf numFmtId="0" fontId="13" fillId="2" borderId="28" xfId="0" applyFont="1" applyFill="1" applyBorder="1" applyAlignment="1" applyProtection="1">
      <alignment horizontal="left" vertical="center"/>
      <protection locked="0"/>
    </xf>
    <xf numFmtId="166" fontId="19" fillId="6" borderId="11" xfId="0" applyNumberFormat="1" applyFont="1" applyFill="1" applyBorder="1" applyAlignment="1">
      <alignment horizontal="left" wrapText="1"/>
    </xf>
    <xf numFmtId="0" fontId="16" fillId="6" borderId="0" xfId="0" applyFont="1" applyFill="1" applyBorder="1" applyAlignment="1">
      <alignment horizontal="left" vertical="top" wrapText="1"/>
    </xf>
    <xf numFmtId="0" fontId="16" fillId="4" borderId="7" xfId="0" applyFont="1" applyFill="1" applyBorder="1" applyAlignment="1">
      <alignment horizontal="left" vertical="top" wrapText="1"/>
    </xf>
    <xf numFmtId="166" fontId="19" fillId="6" borderId="0" xfId="0" applyNumberFormat="1" applyFont="1" applyFill="1" applyBorder="1" applyAlignment="1">
      <alignment horizontal="left" wrapText="1"/>
    </xf>
    <xf numFmtId="0" fontId="20" fillId="4" borderId="50"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51" xfId="0" applyFont="1" applyFill="1" applyBorder="1" applyAlignment="1">
      <alignment horizontal="left" vertical="center" wrapText="1"/>
    </xf>
    <xf numFmtId="0" fontId="20" fillId="4" borderId="52"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53" xfId="0" applyFont="1" applyFill="1" applyBorder="1" applyAlignment="1">
      <alignment horizontal="left" vertical="center" wrapText="1"/>
    </xf>
    <xf numFmtId="0" fontId="20" fillId="4" borderId="54" xfId="0" applyFont="1" applyFill="1" applyBorder="1" applyAlignment="1">
      <alignment horizontal="left" vertical="center" wrapText="1"/>
    </xf>
    <xf numFmtId="0" fontId="20" fillId="4" borderId="55" xfId="0" applyFont="1" applyFill="1" applyBorder="1" applyAlignment="1">
      <alignment horizontal="left" vertical="center" wrapText="1"/>
    </xf>
    <xf numFmtId="0" fontId="20" fillId="4" borderId="56" xfId="0" applyFont="1" applyFill="1" applyBorder="1" applyAlignment="1">
      <alignment horizontal="left" vertical="center" wrapText="1"/>
    </xf>
    <xf numFmtId="0" fontId="17" fillId="6" borderId="0" xfId="0" applyFont="1" applyFill="1" applyBorder="1" applyAlignment="1">
      <alignment horizontal="left" wrapText="1"/>
    </xf>
    <xf numFmtId="0" fontId="8" fillId="4" borderId="2" xfId="0" applyFont="1" applyFill="1" applyBorder="1" applyAlignment="1">
      <alignment horizontal="left" vertical="center"/>
    </xf>
    <xf numFmtId="0" fontId="8" fillId="4" borderId="0" xfId="0" applyFont="1" applyFill="1" applyBorder="1" applyAlignment="1">
      <alignment horizontal="left" vertical="center"/>
    </xf>
    <xf numFmtId="0" fontId="17" fillId="6" borderId="0" xfId="0" applyFont="1" applyFill="1" applyBorder="1" applyAlignment="1">
      <alignment horizontal="left" vertical="center" wrapText="1"/>
    </xf>
    <xf numFmtId="0" fontId="17" fillId="6" borderId="11" xfId="0" applyFont="1" applyFill="1" applyBorder="1" applyAlignment="1">
      <alignment horizontal="left" vertical="center" wrapText="1"/>
    </xf>
    <xf numFmtId="0" fontId="0" fillId="0" borderId="2" xfId="0" applyBorder="1" applyAlignment="1">
      <alignment horizontal="center"/>
    </xf>
    <xf numFmtId="0" fontId="0" fillId="0" borderId="3"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168" fontId="0" fillId="6" borderId="46" xfId="1" applyNumberFormat="1" applyFont="1" applyFill="1" applyBorder="1" applyAlignment="1">
      <alignment horizontal="center" vertical="center"/>
    </xf>
    <xf numFmtId="168" fontId="0" fillId="6" borderId="48" xfId="1" applyNumberFormat="1" applyFont="1" applyFill="1" applyBorder="1" applyAlignment="1">
      <alignment horizontal="center" vertical="center"/>
    </xf>
    <xf numFmtId="168" fontId="0" fillId="6" borderId="46" xfId="1" applyNumberFormat="1" applyFont="1" applyFill="1" applyBorder="1" applyAlignment="1">
      <alignment vertical="center"/>
    </xf>
    <xf numFmtId="168" fontId="0" fillId="6" borderId="48" xfId="1" applyNumberFormat="1" applyFont="1" applyFill="1" applyBorder="1" applyAlignment="1">
      <alignment vertical="center"/>
    </xf>
    <xf numFmtId="0" fontId="0" fillId="4" borderId="2" xfId="0" applyFill="1" applyBorder="1" applyAlignment="1">
      <alignment horizontal="center" wrapText="1"/>
    </xf>
    <xf numFmtId="0" fontId="0" fillId="4" borderId="0" xfId="0" applyFill="1" applyBorder="1" applyAlignment="1">
      <alignment horizontal="center" wrapText="1"/>
    </xf>
    <xf numFmtId="0" fontId="0" fillId="6" borderId="0" xfId="0" applyFill="1" applyBorder="1" applyAlignment="1">
      <alignment horizontal="center" wrapText="1"/>
    </xf>
    <xf numFmtId="0" fontId="0" fillId="6" borderId="2" xfId="0" applyFill="1" applyBorder="1" applyAlignment="1">
      <alignment horizontal="center" wrapText="1"/>
    </xf>
    <xf numFmtId="0" fontId="0" fillId="6" borderId="0" xfId="0" applyFill="1" applyBorder="1" applyAlignment="1">
      <alignment wrapText="1"/>
    </xf>
    <xf numFmtId="0" fontId="16" fillId="4" borderId="0" xfId="0" applyFont="1" applyFill="1" applyBorder="1" applyAlignment="1">
      <alignment horizontal="left" vertical="center" wrapText="1"/>
    </xf>
    <xf numFmtId="0" fontId="18" fillId="4" borderId="46" xfId="0" applyFont="1" applyFill="1" applyBorder="1" applyAlignment="1">
      <alignment horizontal="left" vertical="center"/>
    </xf>
    <xf numFmtId="0" fontId="18" fillId="4" borderId="47" xfId="0" applyFont="1" applyFill="1" applyBorder="1" applyAlignment="1">
      <alignment horizontal="left" vertical="center"/>
    </xf>
    <xf numFmtId="0" fontId="18" fillId="4" borderId="48" xfId="0" applyFont="1" applyFill="1" applyBorder="1" applyAlignment="1">
      <alignment horizontal="left" vertical="center"/>
    </xf>
    <xf numFmtId="0" fontId="0" fillId="0" borderId="0" xfId="0" applyAlignment="1">
      <alignment horizontal="center"/>
    </xf>
    <xf numFmtId="0" fontId="0" fillId="0" borderId="0" xfId="0" applyBorder="1" applyAlignment="1">
      <alignment horizontal="center"/>
    </xf>
    <xf numFmtId="0" fontId="0" fillId="0" borderId="25" xfId="0" applyBorder="1" applyAlignment="1">
      <alignment horizontal="center"/>
    </xf>
    <xf numFmtId="0" fontId="2" fillId="0" borderId="39" xfId="0" applyFont="1" applyBorder="1" applyAlignment="1">
      <alignment horizontal="center"/>
    </xf>
    <xf numFmtId="0" fontId="2" fillId="0" borderId="40" xfId="0" applyFont="1" applyBorder="1" applyAlignment="1">
      <alignment horizontal="center"/>
    </xf>
    <xf numFmtId="0" fontId="2" fillId="0" borderId="28"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31" xfId="0" applyFont="1" applyBorder="1" applyAlignment="1">
      <alignment horizontal="center" vertical="center"/>
    </xf>
    <xf numFmtId="0" fontId="2" fillId="0" borderId="10" xfId="0" applyFont="1" applyBorder="1" applyAlignment="1">
      <alignment horizontal="center" vertical="center"/>
    </xf>
  </cellXfs>
  <cellStyles count="3">
    <cellStyle name="Monétaire" xfId="1" builtinId="4"/>
    <cellStyle name="Normal" xfId="0" builtinId="0"/>
    <cellStyle name="Pourcentage" xfId="2" builtinId="5"/>
  </cellStyles>
  <dxfs count="0"/>
  <tableStyles count="0" defaultTableStyle="TableStyleMedium9" defaultPivotStyle="PivotStyleLight16"/>
  <colors>
    <mruColors>
      <color rgb="FFECECEC"/>
      <color rgb="FF89CCCC"/>
      <color rgb="FFC80000"/>
      <color rgb="FFECECCB"/>
      <color rgb="FF9A0000"/>
      <color rgb="FF81DAD5"/>
      <color rgb="FFD8F8C0"/>
      <color rgb="FFC2F49C"/>
      <color rgb="FFA7EF71"/>
      <color rgb="FFC5D5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103715</xdr:colOff>
      <xdr:row>2</xdr:row>
      <xdr:rowOff>2816</xdr:rowOff>
    </xdr:to>
    <xdr:pic>
      <xdr:nvPicPr>
        <xdr:cNvPr id="9" name="Image 8" descr="BANDEAU pour EXCEL_V2.jpg">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srcRect r="452"/>
        <a:stretch>
          <a:fillRect/>
        </a:stretch>
      </xdr:blipFill>
      <xdr:spPr>
        <a:xfrm>
          <a:off x="0" y="0"/>
          <a:ext cx="14378515" cy="1895116"/>
        </a:xfrm>
        <a:prstGeom prst="rect">
          <a:avLst/>
        </a:prstGeom>
      </xdr:spPr>
    </xdr:pic>
    <xdr:clientData/>
  </xdr:twoCellAnchor>
  <xdr:twoCellAnchor>
    <xdr:from>
      <xdr:col>3</xdr:col>
      <xdr:colOff>771525</xdr:colOff>
      <xdr:row>0</xdr:row>
      <xdr:rowOff>19050</xdr:rowOff>
    </xdr:from>
    <xdr:to>
      <xdr:col>16</xdr:col>
      <xdr:colOff>447675</xdr:colOff>
      <xdr:row>1</xdr:row>
      <xdr:rowOff>485775</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3124200" y="19050"/>
          <a:ext cx="6781800" cy="990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fr-CA"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GN72"/>
  <sheetViews>
    <sheetView tabSelected="1" workbookViewId="0">
      <selection activeCell="R3" sqref="R3"/>
    </sheetView>
  </sheetViews>
  <sheetFormatPr baseColWidth="10" defaultRowHeight="15" x14ac:dyDescent="0.25"/>
  <cols>
    <col min="1" max="1" width="2" customWidth="1"/>
    <col min="2" max="3" width="17.140625" customWidth="1"/>
    <col min="4" max="4" width="8.42578125" customWidth="1"/>
    <col min="5" max="5" width="4" customWidth="1"/>
    <col min="6" max="6" width="7.140625" customWidth="1"/>
    <col min="7" max="7" width="2.7109375" customWidth="1"/>
    <col min="8" max="8" width="11.42578125" customWidth="1"/>
    <col min="9" max="9" width="14.7109375" customWidth="1"/>
    <col min="10" max="10" width="7" customWidth="1"/>
    <col min="11" max="11" width="12.85546875" customWidth="1"/>
    <col min="12" max="12" width="1.42578125" customWidth="1"/>
    <col min="13" max="13" width="14.28515625" customWidth="1"/>
    <col min="14" max="14" width="8.42578125" customWidth="1"/>
    <col min="15" max="15" width="12.140625" customWidth="1"/>
    <col min="16" max="16" width="3.42578125" customWidth="1"/>
    <col min="17" max="17" width="8.42578125" customWidth="1"/>
    <col min="18" max="18" width="11" customWidth="1"/>
    <col min="19" max="19" width="11.85546875" customWidth="1"/>
    <col min="20" max="20" width="11.28515625" customWidth="1"/>
    <col min="21" max="21" width="1.85546875" customWidth="1"/>
    <col min="22" max="196" width="10.85546875" style="155"/>
  </cols>
  <sheetData>
    <row r="1" spans="1:21" ht="108" customHeight="1" x14ac:dyDescent="0.25">
      <c r="A1" s="5"/>
      <c r="B1" s="210"/>
      <c r="C1" s="163"/>
      <c r="D1" s="214"/>
      <c r="E1" s="214"/>
      <c r="F1" s="214"/>
      <c r="G1" s="214"/>
      <c r="H1" s="214"/>
      <c r="I1" s="214"/>
      <c r="J1" s="214"/>
      <c r="K1" s="214"/>
      <c r="L1" s="214"/>
      <c r="M1" s="214"/>
      <c r="N1" s="214"/>
      <c r="O1" s="214"/>
      <c r="P1" s="214"/>
      <c r="Q1" s="214"/>
      <c r="R1" s="210"/>
      <c r="S1" s="210"/>
      <c r="T1" s="210"/>
      <c r="U1" s="211"/>
    </row>
    <row r="2" spans="1:21" ht="41.25" customHeight="1" x14ac:dyDescent="0.25">
      <c r="A2" s="103"/>
      <c r="B2" s="212"/>
      <c r="C2" s="164"/>
      <c r="D2" s="215"/>
      <c r="E2" s="215"/>
      <c r="F2" s="215"/>
      <c r="G2" s="215"/>
      <c r="H2" s="215"/>
      <c r="I2" s="215"/>
      <c r="J2" s="215"/>
      <c r="K2" s="215"/>
      <c r="L2" s="215"/>
      <c r="M2" s="215"/>
      <c r="N2" s="215"/>
      <c r="O2" s="215"/>
      <c r="P2" s="215"/>
      <c r="Q2" s="215"/>
      <c r="R2" s="212"/>
      <c r="S2" s="212"/>
      <c r="T2" s="212"/>
      <c r="U2" s="213"/>
    </row>
    <row r="3" spans="1:21" ht="30" customHeight="1" thickBot="1" x14ac:dyDescent="0.4">
      <c r="A3" s="108"/>
      <c r="B3" s="109" t="s">
        <v>0</v>
      </c>
      <c r="C3" s="109"/>
      <c r="D3" s="110" t="s">
        <v>103</v>
      </c>
      <c r="E3" s="110"/>
      <c r="F3" s="110"/>
      <c r="G3" s="110"/>
      <c r="H3" s="110"/>
      <c r="I3" s="110"/>
      <c r="J3" s="110"/>
      <c r="K3" s="110" t="s">
        <v>84</v>
      </c>
      <c r="L3" s="110"/>
      <c r="M3" s="110"/>
      <c r="N3" s="110"/>
      <c r="O3" s="110"/>
      <c r="P3" s="110"/>
      <c r="Q3" s="110"/>
      <c r="R3" s="110"/>
      <c r="S3" s="110"/>
      <c r="T3" s="110"/>
      <c r="U3" s="111"/>
    </row>
    <row r="4" spans="1:21" ht="30" customHeight="1" thickBot="1" x14ac:dyDescent="0.4">
      <c r="A4" s="112"/>
      <c r="B4" s="113"/>
      <c r="C4" s="113"/>
      <c r="D4" s="189" t="s">
        <v>85</v>
      </c>
      <c r="E4" s="190"/>
      <c r="F4" s="190"/>
      <c r="G4" s="190"/>
      <c r="H4" s="190"/>
      <c r="I4" s="191"/>
      <c r="J4" s="120"/>
      <c r="K4" s="189" t="s">
        <v>90</v>
      </c>
      <c r="L4" s="190"/>
      <c r="M4" s="191"/>
      <c r="N4" s="115"/>
      <c r="O4" s="114"/>
      <c r="P4" s="114"/>
      <c r="Q4" s="116"/>
      <c r="R4" s="116"/>
      <c r="S4" s="179" t="s">
        <v>196</v>
      </c>
      <c r="T4" s="165">
        <f>Feuil2!E21</f>
        <v>87.65</v>
      </c>
      <c r="U4" s="118"/>
    </row>
    <row r="5" spans="1:21" ht="30" customHeight="1" thickBot="1" x14ac:dyDescent="0.4">
      <c r="A5" s="112"/>
      <c r="B5" s="113"/>
      <c r="C5" s="113"/>
      <c r="D5" s="114" t="s">
        <v>19</v>
      </c>
      <c r="E5" s="114"/>
      <c r="F5" s="114"/>
      <c r="G5" s="114"/>
      <c r="H5" s="114"/>
      <c r="I5" s="114"/>
      <c r="J5" s="114"/>
      <c r="K5" s="114"/>
      <c r="L5" s="114"/>
      <c r="M5" s="114"/>
      <c r="N5" s="115"/>
      <c r="O5" s="119"/>
      <c r="P5" s="120"/>
      <c r="Q5" s="116"/>
      <c r="R5" s="116"/>
      <c r="S5" s="179" t="s">
        <v>197</v>
      </c>
      <c r="T5" s="165">
        <f>Feuil2!E23</f>
        <v>2278.9</v>
      </c>
      <c r="U5" s="118"/>
    </row>
    <row r="6" spans="1:21" ht="30" customHeight="1" x14ac:dyDescent="0.35">
      <c r="A6" s="112"/>
      <c r="B6" s="113"/>
      <c r="C6" s="113"/>
      <c r="D6" s="189" t="s">
        <v>20</v>
      </c>
      <c r="E6" s="190"/>
      <c r="F6" s="190"/>
      <c r="G6" s="190"/>
      <c r="H6" s="190"/>
      <c r="I6" s="191"/>
      <c r="J6" s="114"/>
      <c r="K6" s="114"/>
      <c r="L6" s="114"/>
      <c r="M6" s="114"/>
      <c r="N6" s="115"/>
      <c r="O6" s="119"/>
      <c r="P6" s="120"/>
      <c r="Q6" s="116"/>
      <c r="R6" s="116" t="str">
        <f xml:space="preserve"> IF(T4&gt;0,"Ce coût n'inclut pas la taxe de 9%","")</f>
        <v>Ce coût n'inclut pas la taxe de 9%</v>
      </c>
      <c r="S6" s="117"/>
      <c r="T6" s="138"/>
      <c r="U6" s="118"/>
    </row>
    <row r="7" spans="1:21" ht="3.75" customHeight="1" x14ac:dyDescent="0.25">
      <c r="A7" s="121"/>
      <c r="B7" s="122"/>
      <c r="C7" s="122"/>
      <c r="D7" s="122"/>
      <c r="E7" s="122"/>
      <c r="F7" s="122"/>
      <c r="G7" s="122"/>
      <c r="H7" s="122"/>
      <c r="I7" s="122"/>
      <c r="J7" s="122"/>
      <c r="K7" s="122"/>
      <c r="L7" s="122"/>
      <c r="M7" s="122"/>
      <c r="N7" s="122"/>
      <c r="O7" s="122"/>
      <c r="P7" s="122"/>
      <c r="Q7" s="123"/>
      <c r="R7" s="123"/>
      <c r="S7" s="123"/>
      <c r="T7" s="123"/>
      <c r="U7" s="124"/>
    </row>
    <row r="8" spans="1:21" ht="30" customHeight="1" thickBot="1" x14ac:dyDescent="0.4">
      <c r="A8" s="93"/>
      <c r="B8" s="91" t="s">
        <v>3</v>
      </c>
      <c r="C8" s="91"/>
      <c r="D8" s="82" t="s">
        <v>103</v>
      </c>
      <c r="E8" s="82"/>
      <c r="F8" s="82"/>
      <c r="G8" s="82"/>
      <c r="H8" s="82"/>
      <c r="I8" s="82"/>
      <c r="J8" s="82"/>
      <c r="K8" s="82" t="s">
        <v>97</v>
      </c>
      <c r="L8" s="82"/>
      <c r="M8" s="82"/>
      <c r="N8" s="82"/>
      <c r="O8" s="82"/>
      <c r="P8" s="82"/>
      <c r="Q8" s="97"/>
      <c r="R8" s="97"/>
      <c r="S8" s="97"/>
      <c r="T8" s="97"/>
      <c r="U8" s="83"/>
    </row>
    <row r="9" spans="1:21" ht="30" customHeight="1" thickBot="1" x14ac:dyDescent="0.4">
      <c r="A9" s="94"/>
      <c r="B9" s="92"/>
      <c r="C9" s="92"/>
      <c r="D9" s="189" t="s">
        <v>34</v>
      </c>
      <c r="E9" s="190"/>
      <c r="F9" s="190"/>
      <c r="G9" s="190"/>
      <c r="H9" s="190"/>
      <c r="I9" s="191"/>
      <c r="J9" s="84"/>
      <c r="K9" s="226" t="str">
        <f>Feuil2!B$8</f>
        <v>Familial</v>
      </c>
      <c r="L9" s="227"/>
      <c r="M9" s="228"/>
      <c r="N9" s="99"/>
      <c r="O9" s="99"/>
      <c r="P9" s="84"/>
      <c r="Q9" s="85" t="s">
        <v>91</v>
      </c>
      <c r="R9" s="85"/>
      <c r="S9" s="85"/>
      <c r="T9" s="166">
        <f>Feuil2!N$10</f>
        <v>0</v>
      </c>
      <c r="U9" s="86"/>
    </row>
    <row r="10" spans="1:21" ht="30" customHeight="1" thickBot="1" x14ac:dyDescent="0.35">
      <c r="A10" s="94"/>
      <c r="B10" s="84"/>
      <c r="C10" s="84"/>
      <c r="D10" s="104" t="str">
        <f>IF(Feuil2!K11,"Pour souscrire une assurance soins dentaires, vous devez souscrire une assurance maladie",IF(Feuil2!K$10=FALSE,"Pour avoir l'option2, vous devez souscrire la protection enrichie (module C) en assurance maladie",""))</f>
        <v/>
      </c>
      <c r="E10" s="104"/>
      <c r="F10" s="84"/>
      <c r="G10" s="84"/>
      <c r="H10" s="84"/>
      <c r="I10" s="84"/>
      <c r="J10" s="84"/>
      <c r="K10" s="84"/>
      <c r="L10" s="84"/>
      <c r="M10" s="84"/>
      <c r="N10" s="84"/>
      <c r="O10" s="84"/>
      <c r="P10" s="84"/>
      <c r="Q10" s="85" t="s">
        <v>92</v>
      </c>
      <c r="R10" s="85"/>
      <c r="S10" s="85"/>
      <c r="T10" s="166">
        <f>26*T9</f>
        <v>0</v>
      </c>
      <c r="U10" s="86"/>
    </row>
    <row r="11" spans="1:21" ht="30" customHeight="1" x14ac:dyDescent="0.25">
      <c r="A11" s="87"/>
      <c r="B11" s="88"/>
      <c r="C11" s="88"/>
      <c r="D11" s="88"/>
      <c r="E11" s="88"/>
      <c r="F11" s="88"/>
      <c r="G11" s="88"/>
      <c r="H11" s="88"/>
      <c r="I11" s="88"/>
      <c r="J11" s="88"/>
      <c r="K11" s="88"/>
      <c r="L11" s="88"/>
      <c r="M11" s="88"/>
      <c r="N11" s="88"/>
      <c r="O11" s="88"/>
      <c r="P11" s="88"/>
      <c r="Q11" s="89"/>
      <c r="R11" s="89" t="str">
        <f xml:space="preserve"> IF(T9&gt;0,"Ce coût n'inclut pas la taxe de 9%","")</f>
        <v/>
      </c>
      <c r="S11" s="89"/>
      <c r="T11" s="89"/>
      <c r="U11" s="90"/>
    </row>
    <row r="12" spans="1:21" ht="30" customHeight="1" thickBot="1" x14ac:dyDescent="0.4">
      <c r="A12" s="108"/>
      <c r="B12" s="109" t="s">
        <v>1</v>
      </c>
      <c r="C12" s="109"/>
      <c r="D12" s="110"/>
      <c r="E12" s="110"/>
      <c r="F12" s="125"/>
      <c r="G12" s="125"/>
      <c r="H12" s="110"/>
      <c r="I12" s="110"/>
      <c r="J12" s="223" t="s">
        <v>30</v>
      </c>
      <c r="K12" s="223"/>
      <c r="L12" s="110"/>
      <c r="M12" s="110"/>
      <c r="N12" s="110"/>
      <c r="O12" s="110"/>
      <c r="P12" s="110"/>
      <c r="Q12" s="126"/>
      <c r="R12" s="126"/>
      <c r="S12" s="126"/>
      <c r="T12" s="126"/>
      <c r="U12" s="111"/>
    </row>
    <row r="13" spans="1:21" ht="30" customHeight="1" thickBot="1" x14ac:dyDescent="0.3">
      <c r="A13" s="112"/>
      <c r="B13" s="193" t="s">
        <v>26</v>
      </c>
      <c r="C13" s="193"/>
      <c r="D13" s="193"/>
      <c r="E13" s="193"/>
      <c r="F13" s="193"/>
      <c r="G13" s="193"/>
      <c r="H13" s="193"/>
      <c r="I13" s="116"/>
      <c r="J13" s="222"/>
      <c r="K13" s="222"/>
      <c r="L13" s="114"/>
      <c r="M13" s="114"/>
      <c r="N13" s="158" t="s">
        <v>193</v>
      </c>
      <c r="O13" s="188">
        <v>60000</v>
      </c>
      <c r="P13" s="114"/>
      <c r="Q13" s="116"/>
      <c r="R13" s="116"/>
      <c r="S13" s="179" t="s">
        <v>196</v>
      </c>
      <c r="T13" s="165">
        <f>ROUND(O13/1000*K14,2)</f>
        <v>0</v>
      </c>
      <c r="U13" s="118"/>
    </row>
    <row r="14" spans="1:21" ht="30" customHeight="1" thickBot="1" x14ac:dyDescent="0.3">
      <c r="A14" s="112"/>
      <c r="B14" s="174" t="s">
        <v>27</v>
      </c>
      <c r="C14" s="150"/>
      <c r="D14" s="114"/>
      <c r="E14" s="114"/>
      <c r="F14" s="114"/>
      <c r="G14" s="114"/>
      <c r="H14" s="114"/>
      <c r="I14" s="116"/>
      <c r="J14" s="116"/>
      <c r="K14" s="170">
        <f>Feuil2!F26</f>
        <v>0</v>
      </c>
      <c r="L14" s="127"/>
      <c r="M14" s="128"/>
      <c r="N14" s="151"/>
      <c r="O14" s="116"/>
      <c r="P14" s="114"/>
      <c r="Q14" s="116"/>
      <c r="R14" s="116"/>
      <c r="S14" s="179" t="s">
        <v>197</v>
      </c>
      <c r="T14" s="165">
        <f>26*T13</f>
        <v>0</v>
      </c>
      <c r="U14" s="118"/>
    </row>
    <row r="15" spans="1:21" ht="30" customHeight="1" x14ac:dyDescent="0.25">
      <c r="A15" s="112"/>
      <c r="B15" s="189" t="s">
        <v>36</v>
      </c>
      <c r="C15" s="190"/>
      <c r="D15" s="190"/>
      <c r="E15" s="190"/>
      <c r="F15" s="190"/>
      <c r="G15" s="190"/>
      <c r="H15" s="190"/>
      <c r="I15" s="191"/>
      <c r="J15" s="116"/>
      <c r="K15" s="116"/>
      <c r="L15" s="116"/>
      <c r="M15" s="116" t="s">
        <v>172</v>
      </c>
      <c r="N15" s="116"/>
      <c r="O15" s="116"/>
      <c r="P15" s="116"/>
      <c r="Q15" s="116"/>
      <c r="R15" s="116" t="str">
        <f xml:space="preserve"> IF(T13&gt;0,"Ce coût n'inclut pas la taxe de 9%","")</f>
        <v/>
      </c>
      <c r="S15" s="116"/>
      <c r="T15" s="116"/>
      <c r="U15" s="118"/>
    </row>
    <row r="16" spans="1:21" ht="30" customHeight="1" x14ac:dyDescent="0.25">
      <c r="A16" s="112"/>
      <c r="B16" s="150"/>
      <c r="C16" s="150"/>
      <c r="D16" s="114"/>
      <c r="E16" s="114"/>
      <c r="F16" s="114"/>
      <c r="G16" s="114"/>
      <c r="H16" s="114"/>
      <c r="I16" s="116"/>
      <c r="J16" s="116"/>
      <c r="K16" s="116"/>
      <c r="L16" s="116"/>
      <c r="M16" s="116"/>
      <c r="N16" s="116"/>
      <c r="O16" s="116"/>
      <c r="P16" s="116"/>
      <c r="Q16" s="116"/>
      <c r="R16" s="116"/>
      <c r="S16" s="116"/>
      <c r="T16" s="116"/>
      <c r="U16" s="118"/>
    </row>
    <row r="17" spans="1:196" ht="30" customHeight="1" x14ac:dyDescent="0.25">
      <c r="A17" s="121"/>
      <c r="B17" s="122"/>
      <c r="C17" s="122"/>
      <c r="D17" s="122"/>
      <c r="E17" s="122"/>
      <c r="F17" s="122"/>
      <c r="G17" s="122"/>
      <c r="H17" s="122"/>
      <c r="I17" s="122"/>
      <c r="J17" s="122"/>
      <c r="K17" s="122"/>
      <c r="L17" s="122"/>
      <c r="M17" s="122"/>
      <c r="N17" s="123"/>
      <c r="O17" s="123"/>
      <c r="P17" s="123"/>
      <c r="Q17" s="123"/>
      <c r="R17" s="123"/>
      <c r="S17" s="123"/>
      <c r="T17" s="123"/>
      <c r="U17" s="124"/>
    </row>
    <row r="18" spans="1:196" ht="30" customHeight="1" thickBot="1" x14ac:dyDescent="0.4">
      <c r="A18" s="93"/>
      <c r="B18" s="91" t="s">
        <v>2</v>
      </c>
      <c r="C18" s="91"/>
      <c r="D18" s="82"/>
      <c r="E18" s="82"/>
      <c r="F18" s="96"/>
      <c r="G18" s="96"/>
      <c r="H18" s="82"/>
      <c r="I18" s="82"/>
      <c r="J18" s="220" t="s">
        <v>30</v>
      </c>
      <c r="K18" s="220"/>
      <c r="L18" s="82"/>
      <c r="M18" s="82"/>
      <c r="N18" s="82"/>
      <c r="O18" s="82"/>
      <c r="P18" s="82"/>
      <c r="Q18" s="82"/>
      <c r="R18" s="97"/>
      <c r="S18" s="97"/>
      <c r="T18" s="97"/>
      <c r="U18" s="83"/>
    </row>
    <row r="19" spans="1:196" ht="30" customHeight="1" thickBot="1" x14ac:dyDescent="0.3">
      <c r="A19" s="94"/>
      <c r="B19" s="85" t="s">
        <v>108</v>
      </c>
      <c r="C19" s="84"/>
      <c r="D19" s="84"/>
      <c r="E19" s="84"/>
      <c r="F19" s="185" t="s">
        <v>38</v>
      </c>
      <c r="G19" s="84"/>
      <c r="H19" s="84"/>
      <c r="I19" s="105"/>
      <c r="J19" s="221"/>
      <c r="K19" s="221"/>
      <c r="L19" s="105"/>
      <c r="M19" s="84"/>
      <c r="N19" s="152"/>
      <c r="O19" s="84"/>
      <c r="P19" s="84"/>
      <c r="Q19" s="85" t="s">
        <v>91</v>
      </c>
      <c r="R19" s="85"/>
      <c r="S19" s="85"/>
      <c r="T19" s="166">
        <f>ROUND(O20/1000*K20,2)</f>
        <v>26.88</v>
      </c>
      <c r="U19" s="86"/>
    </row>
    <row r="20" spans="1:196" ht="30" customHeight="1" thickBot="1" x14ac:dyDescent="0.3">
      <c r="A20" s="94"/>
      <c r="B20" s="225" t="s">
        <v>186</v>
      </c>
      <c r="C20" s="225"/>
      <c r="D20" s="225"/>
      <c r="E20" s="225"/>
      <c r="F20" s="225"/>
      <c r="G20" s="225"/>
      <c r="H20" s="225"/>
      <c r="I20" s="225"/>
      <c r="J20" s="105"/>
      <c r="K20" s="173">
        <f>Feuil2!H32</f>
        <v>0.44800000000000001</v>
      </c>
      <c r="L20" s="98"/>
      <c r="M20" s="98"/>
      <c r="N20" s="178" t="s">
        <v>192</v>
      </c>
      <c r="O20" s="186">
        <f>O13</f>
        <v>60000</v>
      </c>
      <c r="P20" s="84"/>
      <c r="Q20" s="85" t="s">
        <v>92</v>
      </c>
      <c r="R20" s="85"/>
      <c r="S20" s="85"/>
      <c r="T20" s="167">
        <f>26*T19</f>
        <v>698.88</v>
      </c>
      <c r="U20" s="86"/>
    </row>
    <row r="21" spans="1:196" ht="30" customHeight="1" x14ac:dyDescent="0.25">
      <c r="A21" s="87"/>
      <c r="B21" s="194" t="s">
        <v>194</v>
      </c>
      <c r="C21" s="194"/>
      <c r="D21" s="194"/>
      <c r="E21" s="194"/>
      <c r="F21" s="194"/>
      <c r="G21" s="194"/>
      <c r="H21" s="194"/>
      <c r="I21" s="194"/>
      <c r="J21" s="88"/>
      <c r="K21" s="88"/>
      <c r="L21" s="88"/>
      <c r="M21" s="88"/>
      <c r="N21" s="88"/>
      <c r="O21" s="88"/>
      <c r="P21" s="88"/>
      <c r="Q21" s="89"/>
      <c r="R21" s="89" t="str">
        <f xml:space="preserve"> IF(T19&gt;0,"Ce coût n'inclut pas la taxe de 9%","")</f>
        <v>Ce coût n'inclut pas la taxe de 9%</v>
      </c>
      <c r="S21" s="89"/>
      <c r="T21" s="89"/>
      <c r="U21" s="90"/>
    </row>
    <row r="22" spans="1:196" ht="3.75" customHeight="1" thickBot="1" x14ac:dyDescent="0.3">
      <c r="A22" s="108"/>
      <c r="B22" s="175"/>
      <c r="C22" s="175"/>
      <c r="D22" s="175"/>
      <c r="E22" s="175"/>
      <c r="F22" s="175"/>
      <c r="G22" s="175"/>
      <c r="H22" s="175"/>
      <c r="I22" s="175"/>
      <c r="J22" s="110"/>
      <c r="K22" s="110"/>
      <c r="L22" s="110"/>
      <c r="M22" s="110"/>
      <c r="N22" s="110"/>
      <c r="O22" s="110"/>
      <c r="P22" s="110"/>
      <c r="Q22" s="126"/>
      <c r="R22" s="126"/>
      <c r="S22" s="126"/>
      <c r="T22" s="126"/>
      <c r="U22" s="111"/>
    </row>
    <row r="23" spans="1:196" s="95" customFormat="1" ht="30" customHeight="1" x14ac:dyDescent="0.35">
      <c r="A23" s="112"/>
      <c r="B23" s="136" t="s">
        <v>4</v>
      </c>
      <c r="C23" s="136"/>
      <c r="D23" s="114"/>
      <c r="E23" s="114"/>
      <c r="F23" s="114"/>
      <c r="G23" s="114"/>
      <c r="H23" s="114"/>
      <c r="I23" s="114"/>
      <c r="J23" s="222" t="s">
        <v>158</v>
      </c>
      <c r="K23" s="222"/>
      <c r="L23" s="114"/>
      <c r="M23" s="116"/>
      <c r="N23" s="159" t="s">
        <v>191</v>
      </c>
      <c r="O23" s="189" t="s">
        <v>201</v>
      </c>
      <c r="P23" s="190"/>
      <c r="Q23" s="190"/>
      <c r="R23" s="191"/>
      <c r="S23" s="116"/>
      <c r="T23" s="116"/>
      <c r="U23" s="118"/>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c r="AT23" s="155"/>
      <c r="AU23" s="155"/>
      <c r="AV23" s="155"/>
      <c r="AW23" s="155"/>
      <c r="AX23" s="155"/>
      <c r="AY23" s="155"/>
      <c r="AZ23" s="155"/>
      <c r="BA23" s="155"/>
      <c r="BB23" s="155"/>
      <c r="BC23" s="155"/>
      <c r="BD23" s="155"/>
      <c r="BE23" s="155"/>
      <c r="BF23" s="155"/>
      <c r="BG23" s="155"/>
      <c r="BH23" s="155"/>
      <c r="BI23" s="155"/>
      <c r="BJ23" s="155"/>
      <c r="BK23" s="155"/>
      <c r="BL23" s="155"/>
      <c r="BM23" s="155"/>
      <c r="BN23" s="155"/>
      <c r="BO23" s="155"/>
      <c r="BP23" s="155"/>
      <c r="BQ23" s="155"/>
      <c r="BR23" s="155"/>
      <c r="BS23" s="155"/>
      <c r="BT23" s="155"/>
      <c r="BU23" s="155"/>
      <c r="BV23" s="155"/>
      <c r="BW23" s="155"/>
      <c r="BX23" s="155"/>
      <c r="BY23" s="155"/>
      <c r="BZ23" s="155"/>
      <c r="CA23" s="155"/>
      <c r="CB23" s="155"/>
      <c r="CC23" s="155"/>
      <c r="CD23" s="155"/>
      <c r="CE23" s="155"/>
      <c r="CF23" s="155"/>
      <c r="CG23" s="155"/>
      <c r="CH23" s="155"/>
      <c r="CI23" s="155"/>
      <c r="CJ23" s="155"/>
      <c r="CK23" s="155"/>
      <c r="CL23" s="155"/>
      <c r="CM23" s="155"/>
      <c r="CN23" s="155"/>
      <c r="CO23" s="155"/>
      <c r="CP23" s="155"/>
      <c r="CQ23" s="155"/>
      <c r="CR23" s="155"/>
      <c r="CS23" s="155"/>
      <c r="CT23" s="155"/>
      <c r="CU23" s="155"/>
      <c r="CV23" s="155"/>
      <c r="CW23" s="155"/>
      <c r="CX23" s="155"/>
      <c r="CY23" s="155"/>
      <c r="CZ23" s="155"/>
      <c r="DA23" s="155"/>
      <c r="DB23" s="155"/>
      <c r="DC23" s="155"/>
      <c r="DD23" s="155"/>
      <c r="DE23" s="155"/>
      <c r="DF23" s="155"/>
      <c r="DG23" s="155"/>
      <c r="DH23" s="155"/>
      <c r="DI23" s="155"/>
      <c r="DJ23" s="155"/>
      <c r="DK23" s="155"/>
      <c r="DL23" s="155"/>
      <c r="DM23" s="155"/>
      <c r="DN23" s="155"/>
      <c r="DO23" s="155"/>
      <c r="DP23" s="155"/>
      <c r="DQ23" s="155"/>
      <c r="DR23" s="155"/>
      <c r="DS23" s="155"/>
      <c r="DT23" s="155"/>
      <c r="DU23" s="155"/>
      <c r="DV23" s="155"/>
      <c r="DW23" s="155"/>
      <c r="DX23" s="155"/>
      <c r="DY23" s="155"/>
      <c r="DZ23" s="155"/>
      <c r="EA23" s="155"/>
      <c r="EB23" s="155"/>
      <c r="EC23" s="155"/>
      <c r="ED23" s="155"/>
      <c r="EE23" s="155"/>
      <c r="EF23" s="155"/>
      <c r="EG23" s="155"/>
      <c r="EH23" s="155"/>
      <c r="EI23" s="155"/>
      <c r="EJ23" s="155"/>
      <c r="EK23" s="155"/>
      <c r="EL23" s="155"/>
      <c r="EM23" s="155"/>
      <c r="EN23" s="155"/>
      <c r="EO23" s="155"/>
      <c r="EP23" s="155"/>
      <c r="EQ23" s="155"/>
      <c r="ER23" s="155"/>
      <c r="ES23" s="155"/>
      <c r="ET23" s="155"/>
      <c r="EU23" s="155"/>
      <c r="EV23" s="155"/>
      <c r="EW23" s="155"/>
      <c r="EX23" s="155"/>
      <c r="EY23" s="155"/>
      <c r="EZ23" s="155"/>
      <c r="FA23" s="155"/>
      <c r="FB23" s="155"/>
      <c r="FC23" s="155"/>
      <c r="FD23" s="155"/>
      <c r="FE23" s="155"/>
      <c r="FF23" s="155"/>
      <c r="FG23" s="155"/>
      <c r="FH23" s="155"/>
      <c r="FI23" s="155"/>
      <c r="FJ23" s="155"/>
      <c r="FK23" s="155"/>
      <c r="FL23" s="155"/>
      <c r="FM23" s="155"/>
      <c r="FN23" s="155"/>
      <c r="FO23" s="155"/>
      <c r="FP23" s="155"/>
      <c r="FQ23" s="155"/>
      <c r="FR23" s="155"/>
      <c r="FS23" s="155"/>
      <c r="FT23" s="155"/>
      <c r="FU23" s="155"/>
      <c r="FV23" s="155"/>
      <c r="FW23" s="155"/>
      <c r="FX23" s="155"/>
      <c r="FY23" s="155"/>
      <c r="FZ23" s="155"/>
      <c r="GA23" s="155"/>
      <c r="GB23" s="155"/>
      <c r="GC23" s="155"/>
      <c r="GD23" s="155"/>
      <c r="GE23" s="155"/>
      <c r="GF23" s="155"/>
      <c r="GG23" s="155"/>
      <c r="GH23" s="155"/>
      <c r="GI23" s="155"/>
      <c r="GJ23" s="155"/>
      <c r="GK23" s="155"/>
      <c r="GL23" s="155"/>
      <c r="GM23" s="155"/>
      <c r="GN23" s="155"/>
    </row>
    <row r="24" spans="1:196" s="95" customFormat="1" ht="3.75" customHeight="1" thickBot="1" x14ac:dyDescent="0.4">
      <c r="A24" s="112"/>
      <c r="B24" s="136"/>
      <c r="C24" s="136"/>
      <c r="D24" s="114"/>
      <c r="E24" s="114"/>
      <c r="F24" s="114"/>
      <c r="G24" s="114"/>
      <c r="H24" s="114"/>
      <c r="I24" s="114"/>
      <c r="J24" s="222"/>
      <c r="K24" s="222"/>
      <c r="L24" s="114"/>
      <c r="M24" s="116"/>
      <c r="N24" s="114"/>
      <c r="O24" s="114"/>
      <c r="P24" s="114"/>
      <c r="Q24" s="114"/>
      <c r="R24" s="116"/>
      <c r="S24" s="116"/>
      <c r="T24" s="116"/>
      <c r="U24" s="118"/>
      <c r="V24" s="155"/>
      <c r="W24" s="155"/>
      <c r="X24" s="155"/>
      <c r="Y24" s="155"/>
      <c r="Z24" s="155"/>
      <c r="AA24" s="155"/>
      <c r="AB24" s="155"/>
      <c r="AC24" s="155"/>
      <c r="AD24" s="155"/>
      <c r="AE24" s="155"/>
      <c r="AF24" s="155"/>
      <c r="AG24" s="155"/>
      <c r="AH24" s="155"/>
      <c r="AI24" s="155"/>
      <c r="AJ24" s="155"/>
      <c r="AK24" s="155"/>
      <c r="AL24" s="155"/>
      <c r="AM24" s="155"/>
      <c r="AN24" s="155"/>
      <c r="AO24" s="155"/>
      <c r="AP24" s="155"/>
      <c r="AQ24" s="155"/>
      <c r="AR24" s="155"/>
      <c r="AS24" s="155"/>
      <c r="AT24" s="155"/>
      <c r="AU24" s="155"/>
      <c r="AV24" s="155"/>
      <c r="AW24" s="155"/>
      <c r="AX24" s="155"/>
      <c r="AY24" s="155"/>
      <c r="AZ24" s="155"/>
      <c r="BA24" s="155"/>
      <c r="BB24" s="155"/>
      <c r="BC24" s="155"/>
      <c r="BD24" s="155"/>
      <c r="BE24" s="155"/>
      <c r="BF24" s="155"/>
      <c r="BG24" s="155"/>
      <c r="BH24" s="155"/>
      <c r="BI24" s="155"/>
      <c r="BJ24" s="155"/>
      <c r="BK24" s="155"/>
      <c r="BL24" s="155"/>
      <c r="BM24" s="155"/>
      <c r="BN24" s="155"/>
      <c r="BO24" s="155"/>
      <c r="BP24" s="155"/>
      <c r="BQ24" s="155"/>
      <c r="BR24" s="155"/>
      <c r="BS24" s="155"/>
      <c r="BT24" s="155"/>
      <c r="BU24" s="155"/>
      <c r="BV24" s="155"/>
      <c r="BW24" s="155"/>
      <c r="BX24" s="155"/>
      <c r="BY24" s="155"/>
      <c r="BZ24" s="155"/>
      <c r="CA24" s="155"/>
      <c r="CB24" s="155"/>
      <c r="CC24" s="155"/>
      <c r="CD24" s="155"/>
      <c r="CE24" s="155"/>
      <c r="CF24" s="155"/>
      <c r="CG24" s="155"/>
      <c r="CH24" s="155"/>
      <c r="CI24" s="155"/>
      <c r="CJ24" s="155"/>
      <c r="CK24" s="155"/>
      <c r="CL24" s="155"/>
      <c r="CM24" s="155"/>
      <c r="CN24" s="155"/>
      <c r="CO24" s="155"/>
      <c r="CP24" s="155"/>
      <c r="CQ24" s="155"/>
      <c r="CR24" s="155"/>
      <c r="CS24" s="155"/>
      <c r="CT24" s="155"/>
      <c r="CU24" s="155"/>
      <c r="CV24" s="155"/>
      <c r="CW24" s="155"/>
      <c r="CX24" s="155"/>
      <c r="CY24" s="155"/>
      <c r="CZ24" s="155"/>
      <c r="DA24" s="155"/>
      <c r="DB24" s="155"/>
      <c r="DC24" s="155"/>
      <c r="DD24" s="155"/>
      <c r="DE24" s="155"/>
      <c r="DF24" s="155"/>
      <c r="DG24" s="155"/>
      <c r="DH24" s="155"/>
      <c r="DI24" s="155"/>
      <c r="DJ24" s="155"/>
      <c r="DK24" s="155"/>
      <c r="DL24" s="155"/>
      <c r="DM24" s="155"/>
      <c r="DN24" s="155"/>
      <c r="DO24" s="155"/>
      <c r="DP24" s="155"/>
      <c r="DQ24" s="155"/>
      <c r="DR24" s="155"/>
      <c r="DS24" s="155"/>
      <c r="DT24" s="155"/>
      <c r="DU24" s="155"/>
      <c r="DV24" s="155"/>
      <c r="DW24" s="155"/>
      <c r="DX24" s="155"/>
      <c r="DY24" s="155"/>
      <c r="DZ24" s="155"/>
      <c r="EA24" s="155"/>
      <c r="EB24" s="155"/>
      <c r="EC24" s="155"/>
      <c r="ED24" s="155"/>
      <c r="EE24" s="155"/>
      <c r="EF24" s="155"/>
      <c r="EG24" s="155"/>
      <c r="EH24" s="155"/>
      <c r="EI24" s="155"/>
      <c r="EJ24" s="155"/>
      <c r="EK24" s="155"/>
      <c r="EL24" s="155"/>
      <c r="EM24" s="155"/>
      <c r="EN24" s="155"/>
      <c r="EO24" s="155"/>
      <c r="EP24" s="155"/>
      <c r="EQ24" s="155"/>
      <c r="ER24" s="155"/>
      <c r="ES24" s="155"/>
      <c r="ET24" s="155"/>
      <c r="EU24" s="155"/>
      <c r="EV24" s="155"/>
      <c r="EW24" s="155"/>
      <c r="EX24" s="155"/>
      <c r="EY24" s="155"/>
      <c r="EZ24" s="155"/>
      <c r="FA24" s="155"/>
      <c r="FB24" s="155"/>
      <c r="FC24" s="155"/>
      <c r="FD24" s="155"/>
      <c r="FE24" s="155"/>
      <c r="FF24" s="155"/>
      <c r="FG24" s="155"/>
      <c r="FH24" s="155"/>
      <c r="FI24" s="155"/>
      <c r="FJ24" s="155"/>
      <c r="FK24" s="155"/>
      <c r="FL24" s="155"/>
      <c r="FM24" s="155"/>
      <c r="FN24" s="155"/>
      <c r="FO24" s="155"/>
      <c r="FP24" s="155"/>
      <c r="FQ24" s="155"/>
      <c r="FR24" s="155"/>
      <c r="FS24" s="155"/>
      <c r="FT24" s="155"/>
      <c r="FU24" s="155"/>
      <c r="FV24" s="155"/>
      <c r="FW24" s="155"/>
      <c r="FX24" s="155"/>
      <c r="FY24" s="155"/>
      <c r="FZ24" s="155"/>
      <c r="GA24" s="155"/>
      <c r="GB24" s="155"/>
      <c r="GC24" s="155"/>
      <c r="GD24" s="155"/>
      <c r="GE24" s="155"/>
      <c r="GF24" s="155"/>
      <c r="GG24" s="155"/>
      <c r="GH24" s="155"/>
      <c r="GI24" s="155"/>
      <c r="GJ24" s="155"/>
      <c r="GK24" s="155"/>
      <c r="GL24" s="155"/>
      <c r="GM24" s="155"/>
      <c r="GN24" s="155"/>
    </row>
    <row r="25" spans="1:196" s="95" customFormat="1" ht="30" customHeight="1" x14ac:dyDescent="0.25">
      <c r="A25" s="112"/>
      <c r="B25" s="129" t="s">
        <v>177</v>
      </c>
      <c r="C25" s="129"/>
      <c r="D25" s="114"/>
      <c r="E25" s="114"/>
      <c r="F25" s="114"/>
      <c r="G25" s="114"/>
      <c r="H25" s="114"/>
      <c r="I25" s="130"/>
      <c r="J25" s="222"/>
      <c r="K25" s="222"/>
      <c r="L25" s="114"/>
      <c r="M25" s="114"/>
      <c r="N25" s="131" t="s">
        <v>173</v>
      </c>
      <c r="O25" s="186">
        <f>O20</f>
        <v>60000</v>
      </c>
      <c r="P25" s="114"/>
      <c r="Q25" s="116"/>
      <c r="R25" s="116"/>
      <c r="S25" s="116"/>
      <c r="T25" s="116"/>
      <c r="U25" s="118"/>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55"/>
      <c r="BS25" s="155"/>
      <c r="BT25" s="155"/>
      <c r="BU25" s="155"/>
      <c r="BV25" s="155"/>
      <c r="BW25" s="155"/>
      <c r="BX25" s="155"/>
      <c r="BY25" s="155"/>
      <c r="BZ25" s="155"/>
      <c r="CA25" s="155"/>
      <c r="CB25" s="155"/>
      <c r="CC25" s="155"/>
      <c r="CD25" s="155"/>
      <c r="CE25" s="155"/>
      <c r="CF25" s="155"/>
      <c r="CG25" s="155"/>
      <c r="CH25" s="155"/>
      <c r="CI25" s="155"/>
      <c r="CJ25" s="155"/>
      <c r="CK25" s="155"/>
      <c r="CL25" s="155"/>
      <c r="CM25" s="155"/>
      <c r="CN25" s="155"/>
      <c r="CO25" s="155"/>
      <c r="CP25" s="155"/>
      <c r="CQ25" s="155"/>
      <c r="CR25" s="155"/>
      <c r="CS25" s="155"/>
      <c r="CT25" s="155"/>
      <c r="CU25" s="155"/>
      <c r="CV25" s="155"/>
      <c r="CW25" s="155"/>
      <c r="CX25" s="155"/>
      <c r="CY25" s="155"/>
      <c r="CZ25" s="155"/>
      <c r="DA25" s="155"/>
      <c r="DB25" s="155"/>
      <c r="DC25" s="155"/>
      <c r="DD25" s="155"/>
      <c r="DE25" s="155"/>
      <c r="DF25" s="155"/>
      <c r="DG25" s="155"/>
      <c r="DH25" s="155"/>
      <c r="DI25" s="155"/>
      <c r="DJ25" s="155"/>
      <c r="DK25" s="155"/>
      <c r="DL25" s="155"/>
      <c r="DM25" s="155"/>
      <c r="DN25" s="155"/>
      <c r="DO25" s="155"/>
      <c r="DP25" s="155"/>
      <c r="DQ25" s="155"/>
      <c r="DR25" s="155"/>
      <c r="DS25" s="155"/>
      <c r="DT25" s="155"/>
      <c r="DU25" s="155"/>
      <c r="DV25" s="155"/>
      <c r="DW25" s="155"/>
      <c r="DX25" s="155"/>
      <c r="DY25" s="155"/>
      <c r="DZ25" s="155"/>
      <c r="EA25" s="155"/>
      <c r="EB25" s="155"/>
      <c r="EC25" s="155"/>
      <c r="ED25" s="155"/>
      <c r="EE25" s="155"/>
      <c r="EF25" s="155"/>
      <c r="EG25" s="155"/>
      <c r="EH25" s="155"/>
      <c r="EI25" s="155"/>
      <c r="EJ25" s="155"/>
      <c r="EK25" s="155"/>
      <c r="EL25" s="155"/>
      <c r="EM25" s="155"/>
      <c r="EN25" s="155"/>
      <c r="EO25" s="155"/>
      <c r="EP25" s="155"/>
      <c r="EQ25" s="155"/>
      <c r="ER25" s="155"/>
      <c r="ES25" s="155"/>
      <c r="ET25" s="155"/>
      <c r="EU25" s="155"/>
      <c r="EV25" s="155"/>
      <c r="EW25" s="155"/>
      <c r="EX25" s="155"/>
      <c r="EY25" s="155"/>
      <c r="EZ25" s="155"/>
      <c r="FA25" s="155"/>
      <c r="FB25" s="155"/>
      <c r="FC25" s="155"/>
      <c r="FD25" s="155"/>
      <c r="FE25" s="155"/>
      <c r="FF25" s="155"/>
      <c r="FG25" s="155"/>
      <c r="FH25" s="155"/>
      <c r="FI25" s="155"/>
      <c r="FJ25" s="155"/>
      <c r="FK25" s="155"/>
      <c r="FL25" s="155"/>
      <c r="FM25" s="155"/>
      <c r="FN25" s="155"/>
      <c r="FO25" s="155"/>
      <c r="FP25" s="155"/>
      <c r="FQ25" s="155"/>
      <c r="FR25" s="155"/>
      <c r="FS25" s="155"/>
      <c r="FT25" s="155"/>
      <c r="FU25" s="155"/>
      <c r="FV25" s="155"/>
      <c r="FW25" s="155"/>
      <c r="FX25" s="155"/>
      <c r="FY25" s="155"/>
      <c r="FZ25" s="155"/>
      <c r="GA25" s="155"/>
      <c r="GB25" s="155"/>
      <c r="GC25" s="155"/>
      <c r="GD25" s="155"/>
      <c r="GE25" s="155"/>
      <c r="GF25" s="155"/>
      <c r="GG25" s="155"/>
      <c r="GH25" s="155"/>
      <c r="GI25" s="155"/>
      <c r="GJ25" s="155"/>
      <c r="GK25" s="155"/>
      <c r="GL25" s="155"/>
      <c r="GM25" s="155"/>
      <c r="GN25" s="155"/>
    </row>
    <row r="26" spans="1:196" s="95" customFormat="1" ht="3.75" customHeight="1" thickBot="1" x14ac:dyDescent="0.3">
      <c r="A26" s="112"/>
      <c r="B26" s="129"/>
      <c r="C26" s="129"/>
      <c r="D26" s="114"/>
      <c r="E26" s="114"/>
      <c r="F26" s="114"/>
      <c r="G26" s="114"/>
      <c r="H26" s="114"/>
      <c r="I26" s="130"/>
      <c r="J26" s="162"/>
      <c r="K26" s="162"/>
      <c r="L26" s="114"/>
      <c r="M26" s="114"/>
      <c r="N26" s="116"/>
      <c r="O26" s="116"/>
      <c r="P26" s="114"/>
      <c r="Q26" s="116"/>
      <c r="R26" s="116"/>
      <c r="S26" s="116"/>
      <c r="T26" s="180"/>
      <c r="U26" s="118"/>
      <c r="V26" s="155"/>
      <c r="W26" s="155"/>
      <c r="X26" s="155"/>
      <c r="Y26" s="155"/>
      <c r="Z26" s="155"/>
      <c r="AA26" s="155"/>
      <c r="AB26" s="155"/>
      <c r="AC26" s="155"/>
      <c r="AD26" s="155"/>
      <c r="AE26" s="155"/>
      <c r="AF26" s="155"/>
      <c r="AG26" s="155"/>
      <c r="AH26" s="155"/>
      <c r="AI26" s="155"/>
      <c r="AJ26" s="155"/>
      <c r="AK26" s="155"/>
      <c r="AL26" s="155"/>
      <c r="AM26" s="155"/>
      <c r="AN26" s="155"/>
      <c r="AO26" s="155"/>
      <c r="AP26" s="155"/>
      <c r="AQ26" s="155"/>
      <c r="AR26" s="155"/>
      <c r="AS26" s="155"/>
      <c r="AT26" s="155"/>
      <c r="AU26" s="155"/>
      <c r="AV26" s="155"/>
      <c r="AW26" s="155"/>
      <c r="AX26" s="155"/>
      <c r="AY26" s="155"/>
      <c r="AZ26" s="155"/>
      <c r="BA26" s="155"/>
      <c r="BB26" s="155"/>
      <c r="BC26" s="155"/>
      <c r="BD26" s="155"/>
      <c r="BE26" s="155"/>
      <c r="BF26" s="155"/>
      <c r="BG26" s="155"/>
      <c r="BH26" s="155"/>
      <c r="BI26" s="155"/>
      <c r="BJ26" s="155"/>
      <c r="BK26" s="155"/>
      <c r="BL26" s="155"/>
      <c r="BM26" s="155"/>
      <c r="BN26" s="155"/>
      <c r="BO26" s="155"/>
      <c r="BP26" s="155"/>
      <c r="BQ26" s="155"/>
      <c r="BR26" s="155"/>
      <c r="BS26" s="155"/>
      <c r="BT26" s="155"/>
      <c r="BU26" s="155"/>
      <c r="BV26" s="155"/>
      <c r="BW26" s="155"/>
      <c r="BX26" s="155"/>
      <c r="BY26" s="155"/>
      <c r="BZ26" s="155"/>
      <c r="CA26" s="155"/>
      <c r="CB26" s="155"/>
      <c r="CC26" s="155"/>
      <c r="CD26" s="155"/>
      <c r="CE26" s="155"/>
      <c r="CF26" s="155"/>
      <c r="CG26" s="155"/>
      <c r="CH26" s="155"/>
      <c r="CI26" s="155"/>
      <c r="CJ26" s="155"/>
      <c r="CK26" s="155"/>
      <c r="CL26" s="155"/>
      <c r="CM26" s="155"/>
      <c r="CN26" s="155"/>
      <c r="CO26" s="155"/>
      <c r="CP26" s="155"/>
      <c r="CQ26" s="155"/>
      <c r="CR26" s="155"/>
      <c r="CS26" s="155"/>
      <c r="CT26" s="155"/>
      <c r="CU26" s="155"/>
      <c r="CV26" s="155"/>
      <c r="CW26" s="155"/>
      <c r="CX26" s="155"/>
      <c r="CY26" s="155"/>
      <c r="CZ26" s="155"/>
      <c r="DA26" s="155"/>
      <c r="DB26" s="155"/>
      <c r="DC26" s="155"/>
      <c r="DD26" s="155"/>
      <c r="DE26" s="155"/>
      <c r="DF26" s="155"/>
      <c r="DG26" s="155"/>
      <c r="DH26" s="155"/>
      <c r="DI26" s="155"/>
      <c r="DJ26" s="155"/>
      <c r="DK26" s="155"/>
      <c r="DL26" s="155"/>
      <c r="DM26" s="155"/>
      <c r="DN26" s="155"/>
      <c r="DO26" s="155"/>
      <c r="DP26" s="155"/>
      <c r="DQ26" s="155"/>
      <c r="DR26" s="155"/>
      <c r="DS26" s="155"/>
      <c r="DT26" s="155"/>
      <c r="DU26" s="155"/>
      <c r="DV26" s="155"/>
      <c r="DW26" s="155"/>
      <c r="DX26" s="155"/>
      <c r="DY26" s="155"/>
      <c r="DZ26" s="155"/>
      <c r="EA26" s="155"/>
      <c r="EB26" s="155"/>
      <c r="EC26" s="155"/>
      <c r="ED26" s="155"/>
      <c r="EE26" s="155"/>
      <c r="EF26" s="155"/>
      <c r="EG26" s="155"/>
      <c r="EH26" s="155"/>
      <c r="EI26" s="155"/>
      <c r="EJ26" s="155"/>
      <c r="EK26" s="155"/>
      <c r="EL26" s="155"/>
      <c r="EM26" s="155"/>
      <c r="EN26" s="155"/>
      <c r="EO26" s="155"/>
      <c r="EP26" s="155"/>
      <c r="EQ26" s="155"/>
      <c r="ER26" s="155"/>
      <c r="ES26" s="155"/>
      <c r="ET26" s="155"/>
      <c r="EU26" s="155"/>
      <c r="EV26" s="155"/>
      <c r="EW26" s="155"/>
      <c r="EX26" s="155"/>
      <c r="EY26" s="155"/>
      <c r="EZ26" s="155"/>
      <c r="FA26" s="155"/>
      <c r="FB26" s="155"/>
      <c r="FC26" s="155"/>
      <c r="FD26" s="155"/>
      <c r="FE26" s="155"/>
      <c r="FF26" s="155"/>
      <c r="FG26" s="155"/>
      <c r="FH26" s="155"/>
      <c r="FI26" s="155"/>
      <c r="FJ26" s="155"/>
      <c r="FK26" s="155"/>
      <c r="FL26" s="155"/>
      <c r="FM26" s="155"/>
      <c r="FN26" s="155"/>
      <c r="FO26" s="155"/>
      <c r="FP26" s="155"/>
      <c r="FQ26" s="155"/>
      <c r="FR26" s="155"/>
      <c r="FS26" s="155"/>
      <c r="FT26" s="155"/>
      <c r="FU26" s="155"/>
      <c r="FV26" s="155"/>
      <c r="FW26" s="155"/>
      <c r="FX26" s="155"/>
      <c r="FY26" s="155"/>
      <c r="FZ26" s="155"/>
      <c r="GA26" s="155"/>
      <c r="GB26" s="155"/>
      <c r="GC26" s="155"/>
      <c r="GD26" s="155"/>
      <c r="GE26" s="155"/>
      <c r="GF26" s="155"/>
      <c r="GG26" s="155"/>
      <c r="GH26" s="155"/>
      <c r="GI26" s="155"/>
      <c r="GJ26" s="155"/>
      <c r="GK26" s="155"/>
      <c r="GL26" s="155"/>
      <c r="GM26" s="155"/>
      <c r="GN26" s="155"/>
    </row>
    <row r="27" spans="1:196" s="95" customFormat="1" ht="30" customHeight="1" thickBot="1" x14ac:dyDescent="0.3">
      <c r="A27" s="112"/>
      <c r="B27" s="116" t="s">
        <v>106</v>
      </c>
      <c r="C27" s="116"/>
      <c r="D27" s="185" t="s">
        <v>38</v>
      </c>
      <c r="E27" s="114"/>
      <c r="F27" s="114"/>
      <c r="G27" s="114"/>
      <c r="H27" s="114"/>
      <c r="I27" s="130"/>
      <c r="J27" s="130"/>
      <c r="K27" s="176">
        <f>Feuil2!K19</f>
        <v>0.1052</v>
      </c>
      <c r="L27" s="127"/>
      <c r="M27" s="114"/>
      <c r="N27" s="132" t="s">
        <v>76</v>
      </c>
      <c r="O27" s="169">
        <f>Feuil2!P17</f>
        <v>120000</v>
      </c>
      <c r="P27" s="114"/>
      <c r="Q27" s="116"/>
      <c r="R27" s="116"/>
      <c r="S27" s="179" t="s">
        <v>196</v>
      </c>
      <c r="T27" s="165">
        <f>Feuil2!L20</f>
        <v>15.87</v>
      </c>
      <c r="U27" s="118"/>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5"/>
      <c r="AR27" s="155"/>
      <c r="AS27" s="155"/>
      <c r="AT27" s="155"/>
      <c r="AU27" s="155"/>
      <c r="AV27" s="155"/>
      <c r="AW27" s="155"/>
      <c r="AX27" s="155"/>
      <c r="AY27" s="155"/>
      <c r="AZ27" s="155"/>
      <c r="BA27" s="155"/>
      <c r="BB27" s="155"/>
      <c r="BC27" s="155"/>
      <c r="BD27" s="155"/>
      <c r="BE27" s="155"/>
      <c r="BF27" s="155"/>
      <c r="BG27" s="155"/>
      <c r="BH27" s="155"/>
      <c r="BI27" s="155"/>
      <c r="BJ27" s="155"/>
      <c r="BK27" s="155"/>
      <c r="BL27" s="155"/>
      <c r="BM27" s="155"/>
      <c r="BN27" s="155"/>
      <c r="BO27" s="155"/>
      <c r="BP27" s="155"/>
      <c r="BQ27" s="155"/>
      <c r="BR27" s="155"/>
      <c r="BS27" s="155"/>
      <c r="BT27" s="155"/>
      <c r="BU27" s="155"/>
      <c r="BV27" s="155"/>
      <c r="BW27" s="155"/>
      <c r="BX27" s="155"/>
      <c r="BY27" s="155"/>
      <c r="BZ27" s="155"/>
      <c r="CA27" s="155"/>
      <c r="CB27" s="155"/>
      <c r="CC27" s="155"/>
      <c r="CD27" s="155"/>
      <c r="CE27" s="155"/>
      <c r="CF27" s="155"/>
      <c r="CG27" s="155"/>
      <c r="CH27" s="155"/>
      <c r="CI27" s="155"/>
      <c r="CJ27" s="155"/>
      <c r="CK27" s="155"/>
      <c r="CL27" s="155"/>
      <c r="CM27" s="155"/>
      <c r="CN27" s="155"/>
      <c r="CO27" s="155"/>
      <c r="CP27" s="155"/>
      <c r="CQ27" s="155"/>
      <c r="CR27" s="155"/>
      <c r="CS27" s="155"/>
      <c r="CT27" s="155"/>
      <c r="CU27" s="155"/>
      <c r="CV27" s="155"/>
      <c r="CW27" s="155"/>
      <c r="CX27" s="155"/>
      <c r="CY27" s="155"/>
      <c r="CZ27" s="155"/>
      <c r="DA27" s="155"/>
      <c r="DB27" s="155"/>
      <c r="DC27" s="155"/>
      <c r="DD27" s="155"/>
      <c r="DE27" s="155"/>
      <c r="DF27" s="155"/>
      <c r="DG27" s="155"/>
      <c r="DH27" s="155"/>
      <c r="DI27" s="155"/>
      <c r="DJ27" s="155"/>
      <c r="DK27" s="155"/>
      <c r="DL27" s="155"/>
      <c r="DM27" s="155"/>
      <c r="DN27" s="155"/>
      <c r="DO27" s="155"/>
      <c r="DP27" s="155"/>
      <c r="DQ27" s="155"/>
      <c r="DR27" s="155"/>
      <c r="DS27" s="155"/>
      <c r="DT27" s="155"/>
      <c r="DU27" s="155"/>
      <c r="DV27" s="155"/>
      <c r="DW27" s="155"/>
      <c r="DX27" s="155"/>
      <c r="DY27" s="155"/>
      <c r="DZ27" s="155"/>
      <c r="EA27" s="155"/>
      <c r="EB27" s="155"/>
      <c r="EC27" s="155"/>
      <c r="ED27" s="155"/>
      <c r="EE27" s="155"/>
      <c r="EF27" s="155"/>
      <c r="EG27" s="155"/>
      <c r="EH27" s="155"/>
      <c r="EI27" s="155"/>
      <c r="EJ27" s="155"/>
      <c r="EK27" s="155"/>
      <c r="EL27" s="155"/>
      <c r="EM27" s="155"/>
      <c r="EN27" s="155"/>
      <c r="EO27" s="155"/>
      <c r="EP27" s="155"/>
      <c r="EQ27" s="155"/>
      <c r="ER27" s="155"/>
      <c r="ES27" s="155"/>
      <c r="ET27" s="155"/>
      <c r="EU27" s="155"/>
      <c r="EV27" s="155"/>
      <c r="EW27" s="155"/>
      <c r="EX27" s="155"/>
      <c r="EY27" s="155"/>
      <c r="EZ27" s="155"/>
      <c r="FA27" s="155"/>
      <c r="FB27" s="155"/>
      <c r="FC27" s="155"/>
      <c r="FD27" s="155"/>
      <c r="FE27" s="155"/>
      <c r="FF27" s="155"/>
      <c r="FG27" s="155"/>
      <c r="FH27" s="155"/>
      <c r="FI27" s="155"/>
      <c r="FJ27" s="155"/>
      <c r="FK27" s="155"/>
      <c r="FL27" s="155"/>
      <c r="FM27" s="155"/>
      <c r="FN27" s="155"/>
      <c r="FO27" s="155"/>
      <c r="FP27" s="155"/>
      <c r="FQ27" s="155"/>
      <c r="FR27" s="155"/>
      <c r="FS27" s="155"/>
      <c r="FT27" s="155"/>
      <c r="FU27" s="155"/>
      <c r="FV27" s="155"/>
      <c r="FW27" s="155"/>
      <c r="FX27" s="155"/>
      <c r="FY27" s="155"/>
      <c r="FZ27" s="155"/>
      <c r="GA27" s="155"/>
      <c r="GB27" s="155"/>
      <c r="GC27" s="155"/>
      <c r="GD27" s="155"/>
      <c r="GE27" s="155"/>
      <c r="GF27" s="155"/>
      <c r="GG27" s="155"/>
      <c r="GH27" s="155"/>
      <c r="GI27" s="155"/>
      <c r="GJ27" s="155"/>
      <c r="GK27" s="155"/>
      <c r="GL27" s="155"/>
      <c r="GM27" s="155"/>
      <c r="GN27" s="155"/>
    </row>
    <row r="28" spans="1:196" s="95" customFormat="1" ht="30" customHeight="1" thickBot="1" x14ac:dyDescent="0.3">
      <c r="A28" s="112"/>
      <c r="B28" s="116" t="s">
        <v>179</v>
      </c>
      <c r="C28" s="116"/>
      <c r="D28" s="114"/>
      <c r="E28" s="114"/>
      <c r="F28" s="114"/>
      <c r="G28" s="114"/>
      <c r="H28" s="222" t="s">
        <v>180</v>
      </c>
      <c r="I28" s="222"/>
      <c r="J28" s="222"/>
      <c r="K28" s="177">
        <f>IF(D27="Non",0,ROUND(Feuil2!P15*25000/1000,2))</f>
        <v>3.25</v>
      </c>
      <c r="L28" s="127"/>
      <c r="M28" s="114"/>
      <c r="N28" s="132"/>
      <c r="O28" s="132"/>
      <c r="P28" s="132"/>
      <c r="Q28" s="116"/>
      <c r="R28" s="116"/>
      <c r="S28" s="179" t="s">
        <v>197</v>
      </c>
      <c r="T28" s="165">
        <f>26*T27</f>
        <v>412.62</v>
      </c>
      <c r="U28" s="118"/>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5"/>
      <c r="BR28" s="155"/>
      <c r="BS28" s="155"/>
      <c r="BT28" s="155"/>
      <c r="BU28" s="155"/>
      <c r="BV28" s="155"/>
      <c r="BW28" s="155"/>
      <c r="BX28" s="155"/>
      <c r="BY28" s="155"/>
      <c r="BZ28" s="155"/>
      <c r="CA28" s="155"/>
      <c r="CB28" s="155"/>
      <c r="CC28" s="155"/>
      <c r="CD28" s="155"/>
      <c r="CE28" s="155"/>
      <c r="CF28" s="155"/>
      <c r="CG28" s="155"/>
      <c r="CH28" s="155"/>
      <c r="CI28" s="155"/>
      <c r="CJ28" s="155"/>
      <c r="CK28" s="155"/>
      <c r="CL28" s="155"/>
      <c r="CM28" s="155"/>
      <c r="CN28" s="155"/>
      <c r="CO28" s="155"/>
      <c r="CP28" s="155"/>
      <c r="CQ28" s="155"/>
      <c r="CR28" s="155"/>
      <c r="CS28" s="155"/>
      <c r="CT28" s="155"/>
      <c r="CU28" s="155"/>
      <c r="CV28" s="155"/>
      <c r="CW28" s="155"/>
      <c r="CX28" s="155"/>
      <c r="CY28" s="155"/>
      <c r="CZ28" s="155"/>
      <c r="DA28" s="155"/>
      <c r="DB28" s="155"/>
      <c r="DC28" s="155"/>
      <c r="DD28" s="155"/>
      <c r="DE28" s="155"/>
      <c r="DF28" s="155"/>
      <c r="DG28" s="155"/>
      <c r="DH28" s="155"/>
      <c r="DI28" s="155"/>
      <c r="DJ28" s="155"/>
      <c r="DK28" s="155"/>
      <c r="DL28" s="155"/>
      <c r="DM28" s="155"/>
      <c r="DN28" s="155"/>
      <c r="DO28" s="155"/>
      <c r="DP28" s="155"/>
      <c r="DQ28" s="155"/>
      <c r="DR28" s="155"/>
      <c r="DS28" s="155"/>
      <c r="DT28" s="155"/>
      <c r="DU28" s="155"/>
      <c r="DV28" s="155"/>
      <c r="DW28" s="155"/>
      <c r="DX28" s="155"/>
      <c r="DY28" s="155"/>
      <c r="DZ28" s="155"/>
      <c r="EA28" s="155"/>
      <c r="EB28" s="155"/>
      <c r="EC28" s="155"/>
      <c r="ED28" s="155"/>
      <c r="EE28" s="155"/>
      <c r="EF28" s="155"/>
      <c r="EG28" s="155"/>
      <c r="EH28" s="155"/>
      <c r="EI28" s="155"/>
      <c r="EJ28" s="155"/>
      <c r="EK28" s="155"/>
      <c r="EL28" s="155"/>
      <c r="EM28" s="155"/>
      <c r="EN28" s="155"/>
      <c r="EO28" s="155"/>
      <c r="EP28" s="155"/>
      <c r="EQ28" s="155"/>
      <c r="ER28" s="155"/>
      <c r="ES28" s="155"/>
      <c r="ET28" s="155"/>
      <c r="EU28" s="155"/>
      <c r="EV28" s="155"/>
      <c r="EW28" s="155"/>
      <c r="EX28" s="155"/>
      <c r="EY28" s="155"/>
      <c r="EZ28" s="155"/>
      <c r="FA28" s="155"/>
      <c r="FB28" s="155"/>
      <c r="FC28" s="155"/>
      <c r="FD28" s="155"/>
      <c r="FE28" s="155"/>
      <c r="FF28" s="155"/>
      <c r="FG28" s="155"/>
      <c r="FH28" s="155"/>
      <c r="FI28" s="155"/>
      <c r="FJ28" s="155"/>
      <c r="FK28" s="155"/>
      <c r="FL28" s="155"/>
      <c r="FM28" s="155"/>
      <c r="FN28" s="155"/>
      <c r="FO28" s="155"/>
      <c r="FP28" s="155"/>
      <c r="FQ28" s="155"/>
      <c r="FR28" s="155"/>
      <c r="FS28" s="155"/>
      <c r="FT28" s="155"/>
      <c r="FU28" s="155"/>
      <c r="FV28" s="155"/>
      <c r="FW28" s="155"/>
      <c r="FX28" s="155"/>
      <c r="FY28" s="155"/>
      <c r="FZ28" s="155"/>
      <c r="GA28" s="155"/>
      <c r="GB28" s="155"/>
      <c r="GC28" s="155"/>
      <c r="GD28" s="155"/>
      <c r="GE28" s="155"/>
      <c r="GF28" s="155"/>
      <c r="GG28" s="155"/>
      <c r="GH28" s="155"/>
      <c r="GI28" s="155"/>
      <c r="GJ28" s="155"/>
      <c r="GK28" s="155"/>
      <c r="GL28" s="155"/>
      <c r="GM28" s="155"/>
      <c r="GN28" s="155"/>
    </row>
    <row r="29" spans="1:196" s="95" customFormat="1" ht="30" customHeight="1" x14ac:dyDescent="0.25">
      <c r="A29" s="112"/>
      <c r="B29" s="189" t="s">
        <v>109</v>
      </c>
      <c r="C29" s="191"/>
      <c r="D29" s="114"/>
      <c r="E29" s="114"/>
      <c r="F29" s="114"/>
      <c r="G29" s="114"/>
      <c r="H29" s="162"/>
      <c r="I29" s="162"/>
      <c r="J29" s="162"/>
      <c r="K29" s="162"/>
      <c r="L29" s="127"/>
      <c r="M29" s="114"/>
      <c r="N29" s="132"/>
      <c r="O29" s="132"/>
      <c r="P29" s="132"/>
      <c r="Q29" s="132"/>
      <c r="R29" s="154" t="str">
        <f xml:space="preserve"> IF(T26&gt;0,"Ce coût n'inclut pas la taxe de 9%","")</f>
        <v/>
      </c>
      <c r="S29" s="132"/>
      <c r="T29" s="132"/>
      <c r="U29" s="118"/>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5"/>
      <c r="BR29" s="155"/>
      <c r="BS29" s="155"/>
      <c r="BT29" s="155"/>
      <c r="BU29" s="155"/>
      <c r="BV29" s="155"/>
      <c r="BW29" s="155"/>
      <c r="BX29" s="155"/>
      <c r="BY29" s="155"/>
      <c r="BZ29" s="155"/>
      <c r="CA29" s="155"/>
      <c r="CB29" s="155"/>
      <c r="CC29" s="155"/>
      <c r="CD29" s="155"/>
      <c r="CE29" s="155"/>
      <c r="CF29" s="155"/>
      <c r="CG29" s="155"/>
      <c r="CH29" s="155"/>
      <c r="CI29" s="155"/>
      <c r="CJ29" s="155"/>
      <c r="CK29" s="155"/>
      <c r="CL29" s="155"/>
      <c r="CM29" s="155"/>
      <c r="CN29" s="155"/>
      <c r="CO29" s="155"/>
      <c r="CP29" s="155"/>
      <c r="CQ29" s="155"/>
      <c r="CR29" s="155"/>
      <c r="CS29" s="155"/>
      <c r="CT29" s="155"/>
      <c r="CU29" s="155"/>
      <c r="CV29" s="155"/>
      <c r="CW29" s="155"/>
      <c r="CX29" s="155"/>
      <c r="CY29" s="155"/>
      <c r="CZ29" s="155"/>
      <c r="DA29" s="155"/>
      <c r="DB29" s="155"/>
      <c r="DC29" s="155"/>
      <c r="DD29" s="155"/>
      <c r="DE29" s="155"/>
      <c r="DF29" s="155"/>
      <c r="DG29" s="155"/>
      <c r="DH29" s="155"/>
      <c r="DI29" s="155"/>
      <c r="DJ29" s="155"/>
      <c r="DK29" s="155"/>
      <c r="DL29" s="155"/>
      <c r="DM29" s="155"/>
      <c r="DN29" s="155"/>
      <c r="DO29" s="155"/>
      <c r="DP29" s="155"/>
      <c r="DQ29" s="155"/>
      <c r="DR29" s="155"/>
      <c r="DS29" s="155"/>
      <c r="DT29" s="155"/>
      <c r="DU29" s="155"/>
      <c r="DV29" s="155"/>
      <c r="DW29" s="155"/>
      <c r="DX29" s="155"/>
      <c r="DY29" s="155"/>
      <c r="DZ29" s="155"/>
      <c r="EA29" s="155"/>
      <c r="EB29" s="155"/>
      <c r="EC29" s="155"/>
      <c r="ED29" s="155"/>
      <c r="EE29" s="155"/>
      <c r="EF29" s="155"/>
      <c r="EG29" s="155"/>
      <c r="EH29" s="155"/>
      <c r="EI29" s="155"/>
      <c r="EJ29" s="155"/>
      <c r="EK29" s="155"/>
      <c r="EL29" s="155"/>
      <c r="EM29" s="155"/>
      <c r="EN29" s="155"/>
      <c r="EO29" s="155"/>
      <c r="EP29" s="155"/>
      <c r="EQ29" s="155"/>
      <c r="ER29" s="155"/>
      <c r="ES29" s="155"/>
      <c r="ET29" s="155"/>
      <c r="EU29" s="155"/>
      <c r="EV29" s="155"/>
      <c r="EW29" s="155"/>
      <c r="EX29" s="155"/>
      <c r="EY29" s="155"/>
      <c r="EZ29" s="155"/>
      <c r="FA29" s="155"/>
      <c r="FB29" s="155"/>
      <c r="FC29" s="155"/>
      <c r="FD29" s="155"/>
      <c r="FE29" s="155"/>
      <c r="FF29" s="155"/>
      <c r="FG29" s="155"/>
      <c r="FH29" s="155"/>
      <c r="FI29" s="155"/>
      <c r="FJ29" s="155"/>
      <c r="FK29" s="155"/>
      <c r="FL29" s="155"/>
      <c r="FM29" s="155"/>
      <c r="FN29" s="155"/>
      <c r="FO29" s="155"/>
      <c r="FP29" s="155"/>
      <c r="FQ29" s="155"/>
      <c r="FR29" s="155"/>
      <c r="FS29" s="155"/>
      <c r="FT29" s="155"/>
      <c r="FU29" s="155"/>
      <c r="FV29" s="155"/>
      <c r="FW29" s="155"/>
      <c r="FX29" s="155"/>
      <c r="FY29" s="155"/>
      <c r="FZ29" s="155"/>
      <c r="GA29" s="155"/>
      <c r="GB29" s="155"/>
      <c r="GC29" s="155"/>
      <c r="GD29" s="155"/>
      <c r="GE29" s="155"/>
      <c r="GF29" s="155"/>
      <c r="GG29" s="155"/>
      <c r="GH29" s="155"/>
      <c r="GI29" s="155"/>
      <c r="GJ29" s="155"/>
      <c r="GK29" s="155"/>
      <c r="GL29" s="155"/>
      <c r="GM29" s="155"/>
      <c r="GN29" s="155"/>
    </row>
    <row r="30" spans="1:196" s="95" customFormat="1" ht="3.75" customHeight="1" x14ac:dyDescent="0.25">
      <c r="A30" s="121"/>
      <c r="B30" s="133" t="s">
        <v>178</v>
      </c>
      <c r="C30" s="133"/>
      <c r="D30" s="122"/>
      <c r="E30" s="122"/>
      <c r="F30" s="122"/>
      <c r="G30" s="122"/>
      <c r="H30" s="122"/>
      <c r="I30" s="122"/>
      <c r="J30" s="122"/>
      <c r="K30" s="122"/>
      <c r="L30" s="122"/>
      <c r="M30" s="134" t="str">
        <f>IF(O25&lt;35000,"Le plus petit salaire assurable est de 35 000$ par année pour l'assurance vie de base","")</f>
        <v/>
      </c>
      <c r="N30" s="135"/>
      <c r="O30" s="122"/>
      <c r="P30" s="122"/>
      <c r="Q30" s="123"/>
      <c r="R30" s="123"/>
      <c r="S30" s="123"/>
      <c r="T30" s="123"/>
      <c r="U30" s="124"/>
      <c r="V30" s="155"/>
      <c r="W30" s="155"/>
      <c r="X30" s="155"/>
      <c r="Y30" s="155"/>
      <c r="Z30" s="155"/>
      <c r="AA30" s="155"/>
      <c r="AB30" s="155"/>
      <c r="AC30" s="155"/>
      <c r="AD30" s="155"/>
      <c r="AE30" s="155"/>
      <c r="AF30" s="155"/>
      <c r="AG30" s="155"/>
      <c r="AH30" s="155"/>
      <c r="AI30" s="155"/>
      <c r="AJ30" s="155"/>
      <c r="AK30" s="155"/>
      <c r="AL30" s="155"/>
      <c r="AM30" s="155"/>
      <c r="AN30" s="155"/>
      <c r="AO30" s="155"/>
      <c r="AP30" s="155"/>
      <c r="AQ30" s="155"/>
      <c r="AR30" s="155"/>
      <c r="AS30" s="155"/>
      <c r="AT30" s="155"/>
      <c r="AU30" s="155"/>
      <c r="AV30" s="155"/>
      <c r="AW30" s="155"/>
      <c r="AX30" s="155"/>
      <c r="AY30" s="155"/>
      <c r="AZ30" s="155"/>
      <c r="BA30" s="155"/>
      <c r="BB30" s="155"/>
      <c r="BC30" s="155"/>
      <c r="BD30" s="155"/>
      <c r="BE30" s="155"/>
      <c r="BF30" s="155"/>
      <c r="BG30" s="155"/>
      <c r="BH30" s="155"/>
      <c r="BI30" s="155"/>
      <c r="BJ30" s="155"/>
      <c r="BK30" s="155"/>
      <c r="BL30" s="155"/>
      <c r="BM30" s="155"/>
      <c r="BN30" s="155"/>
      <c r="BO30" s="155"/>
      <c r="BP30" s="155"/>
      <c r="BQ30" s="155"/>
      <c r="BR30" s="155"/>
      <c r="BS30" s="155"/>
      <c r="BT30" s="155"/>
      <c r="BU30" s="155"/>
      <c r="BV30" s="155"/>
      <c r="BW30" s="155"/>
      <c r="BX30" s="155"/>
      <c r="BY30" s="155"/>
      <c r="BZ30" s="155"/>
      <c r="CA30" s="155"/>
      <c r="CB30" s="155"/>
      <c r="CC30" s="155"/>
      <c r="CD30" s="155"/>
      <c r="CE30" s="155"/>
      <c r="CF30" s="155"/>
      <c r="CG30" s="155"/>
      <c r="CH30" s="155"/>
      <c r="CI30" s="155"/>
      <c r="CJ30" s="155"/>
      <c r="CK30" s="155"/>
      <c r="CL30" s="155"/>
      <c r="CM30" s="155"/>
      <c r="CN30" s="155"/>
      <c r="CO30" s="155"/>
      <c r="CP30" s="155"/>
      <c r="CQ30" s="155"/>
      <c r="CR30" s="155"/>
      <c r="CS30" s="155"/>
      <c r="CT30" s="155"/>
      <c r="CU30" s="155"/>
      <c r="CV30" s="155"/>
      <c r="CW30" s="155"/>
      <c r="CX30" s="155"/>
      <c r="CY30" s="155"/>
      <c r="CZ30" s="155"/>
      <c r="DA30" s="155"/>
      <c r="DB30" s="155"/>
      <c r="DC30" s="155"/>
      <c r="DD30" s="155"/>
      <c r="DE30" s="155"/>
      <c r="DF30" s="155"/>
      <c r="DG30" s="155"/>
      <c r="DH30" s="155"/>
      <c r="DI30" s="155"/>
      <c r="DJ30" s="155"/>
      <c r="DK30" s="155"/>
      <c r="DL30" s="155"/>
      <c r="DM30" s="155"/>
      <c r="DN30" s="155"/>
      <c r="DO30" s="155"/>
      <c r="DP30" s="155"/>
      <c r="DQ30" s="155"/>
      <c r="DR30" s="155"/>
      <c r="DS30" s="155"/>
      <c r="DT30" s="155"/>
      <c r="DU30" s="155"/>
      <c r="DV30" s="155"/>
      <c r="DW30" s="155"/>
      <c r="DX30" s="155"/>
      <c r="DY30" s="155"/>
      <c r="DZ30" s="155"/>
      <c r="EA30" s="155"/>
      <c r="EB30" s="155"/>
      <c r="EC30" s="155"/>
      <c r="ED30" s="155"/>
      <c r="EE30" s="155"/>
      <c r="EF30" s="155"/>
      <c r="EG30" s="155"/>
      <c r="EH30" s="155"/>
      <c r="EI30" s="155"/>
      <c r="EJ30" s="155"/>
      <c r="EK30" s="155"/>
      <c r="EL30" s="155"/>
      <c r="EM30" s="155"/>
      <c r="EN30" s="155"/>
      <c r="EO30" s="155"/>
      <c r="EP30" s="155"/>
      <c r="EQ30" s="155"/>
      <c r="ER30" s="155"/>
      <c r="ES30" s="155"/>
      <c r="ET30" s="155"/>
      <c r="EU30" s="155"/>
      <c r="EV30" s="155"/>
      <c r="EW30" s="155"/>
      <c r="EX30" s="155"/>
      <c r="EY30" s="155"/>
      <c r="EZ30" s="155"/>
      <c r="FA30" s="155"/>
      <c r="FB30" s="155"/>
      <c r="FC30" s="155"/>
      <c r="FD30" s="155"/>
      <c r="FE30" s="155"/>
      <c r="FF30" s="155"/>
      <c r="FG30" s="155"/>
      <c r="FH30" s="155"/>
      <c r="FI30" s="155"/>
      <c r="FJ30" s="155"/>
      <c r="FK30" s="155"/>
      <c r="FL30" s="155"/>
      <c r="FM30" s="155"/>
      <c r="FN30" s="155"/>
      <c r="FO30" s="155"/>
      <c r="FP30" s="155"/>
      <c r="FQ30" s="155"/>
      <c r="FR30" s="155"/>
      <c r="FS30" s="155"/>
      <c r="FT30" s="155"/>
      <c r="FU30" s="155"/>
      <c r="FV30" s="155"/>
      <c r="FW30" s="155"/>
      <c r="FX30" s="155"/>
      <c r="FY30" s="155"/>
      <c r="FZ30" s="155"/>
      <c r="GA30" s="155"/>
      <c r="GB30" s="155"/>
      <c r="GC30" s="155"/>
      <c r="GD30" s="155"/>
      <c r="GE30" s="155"/>
      <c r="GF30" s="155"/>
      <c r="GG30" s="155"/>
      <c r="GH30" s="155"/>
      <c r="GI30" s="155"/>
      <c r="GJ30" s="155"/>
      <c r="GK30" s="155"/>
      <c r="GL30" s="155"/>
      <c r="GM30" s="155"/>
      <c r="GN30" s="155"/>
    </row>
    <row r="31" spans="1:196" s="22" customFormat="1" ht="30" customHeight="1" thickBot="1" x14ac:dyDescent="0.4">
      <c r="A31" s="93"/>
      <c r="B31" s="102" t="s">
        <v>67</v>
      </c>
      <c r="C31" s="102"/>
      <c r="D31" s="84"/>
      <c r="E31" s="84"/>
      <c r="F31" s="84"/>
      <c r="G31" s="84"/>
      <c r="H31" s="84"/>
      <c r="I31" s="84"/>
      <c r="J31" s="84"/>
      <c r="K31" s="84"/>
      <c r="L31" s="84"/>
      <c r="M31" s="84"/>
      <c r="N31" s="100"/>
      <c r="O31" s="84"/>
      <c r="P31" s="84"/>
      <c r="Q31" s="97"/>
      <c r="R31" s="85"/>
      <c r="S31" s="85"/>
      <c r="T31" s="85"/>
      <c r="U31" s="86"/>
      <c r="V31" s="155"/>
      <c r="W31" s="155"/>
      <c r="X31" s="155"/>
      <c r="Y31" s="155"/>
      <c r="Z31" s="155"/>
      <c r="AA31" s="155"/>
      <c r="AB31" s="155"/>
      <c r="AC31" s="155"/>
      <c r="AD31" s="155"/>
      <c r="AE31" s="155"/>
      <c r="AF31" s="155"/>
      <c r="AG31" s="155"/>
      <c r="AH31" s="155"/>
      <c r="AI31" s="155"/>
      <c r="AJ31" s="155"/>
      <c r="AK31" s="155"/>
      <c r="AL31" s="155"/>
      <c r="AM31" s="155"/>
      <c r="AN31" s="155"/>
      <c r="AO31" s="155"/>
      <c r="AP31" s="155"/>
      <c r="AQ31" s="155"/>
      <c r="AR31" s="155"/>
      <c r="AS31" s="155"/>
      <c r="AT31" s="155"/>
      <c r="AU31" s="155"/>
      <c r="AV31" s="155"/>
      <c r="AW31" s="155"/>
      <c r="AX31" s="155"/>
      <c r="AY31" s="155"/>
      <c r="AZ31" s="155"/>
      <c r="BA31" s="155"/>
      <c r="BB31" s="155"/>
      <c r="BC31" s="155"/>
      <c r="BD31" s="155"/>
      <c r="BE31" s="155"/>
      <c r="BF31" s="155"/>
      <c r="BG31" s="155"/>
      <c r="BH31" s="155"/>
      <c r="BI31" s="155"/>
      <c r="BJ31" s="155"/>
      <c r="BK31" s="155"/>
      <c r="BL31" s="155"/>
      <c r="BM31" s="155"/>
      <c r="BN31" s="155"/>
      <c r="BO31" s="155"/>
      <c r="BP31" s="155"/>
      <c r="BQ31" s="155"/>
      <c r="BR31" s="155"/>
      <c r="BS31" s="155"/>
      <c r="BT31" s="155"/>
      <c r="BU31" s="155"/>
      <c r="BV31" s="155"/>
      <c r="BW31" s="155"/>
      <c r="BX31" s="155"/>
      <c r="BY31" s="155"/>
      <c r="BZ31" s="155"/>
      <c r="CA31" s="155"/>
      <c r="CB31" s="155"/>
      <c r="CC31" s="155"/>
      <c r="CD31" s="155"/>
      <c r="CE31" s="155"/>
      <c r="CF31" s="155"/>
      <c r="CG31" s="155"/>
      <c r="CH31" s="155"/>
      <c r="CI31" s="155"/>
      <c r="CJ31" s="155"/>
      <c r="CK31" s="155"/>
      <c r="CL31" s="155"/>
      <c r="CM31" s="155"/>
      <c r="CN31" s="155"/>
      <c r="CO31" s="155"/>
      <c r="CP31" s="155"/>
      <c r="CQ31" s="155"/>
      <c r="CR31" s="155"/>
      <c r="CS31" s="155"/>
      <c r="CT31" s="155"/>
      <c r="CU31" s="155"/>
      <c r="CV31" s="155"/>
      <c r="CW31" s="155"/>
      <c r="CX31" s="155"/>
      <c r="CY31" s="155"/>
      <c r="CZ31" s="155"/>
      <c r="DA31" s="155"/>
      <c r="DB31" s="155"/>
      <c r="DC31" s="155"/>
      <c r="DD31" s="155"/>
      <c r="DE31" s="155"/>
      <c r="DF31" s="155"/>
      <c r="DG31" s="155"/>
      <c r="DH31" s="155"/>
      <c r="DI31" s="155"/>
      <c r="DJ31" s="155"/>
      <c r="DK31" s="155"/>
      <c r="DL31" s="155"/>
      <c r="DM31" s="155"/>
      <c r="DN31" s="155"/>
      <c r="DO31" s="155"/>
      <c r="DP31" s="155"/>
      <c r="DQ31" s="155"/>
      <c r="DR31" s="155"/>
      <c r="DS31" s="155"/>
      <c r="DT31" s="155"/>
      <c r="DU31" s="155"/>
      <c r="DV31" s="155"/>
      <c r="DW31" s="155"/>
      <c r="DX31" s="155"/>
      <c r="DY31" s="155"/>
      <c r="DZ31" s="155"/>
      <c r="EA31" s="155"/>
      <c r="EB31" s="155"/>
      <c r="EC31" s="155"/>
      <c r="ED31" s="155"/>
      <c r="EE31" s="155"/>
      <c r="EF31" s="155"/>
      <c r="EG31" s="155"/>
      <c r="EH31" s="155"/>
      <c r="EI31" s="155"/>
      <c r="EJ31" s="155"/>
      <c r="EK31" s="155"/>
      <c r="EL31" s="155"/>
      <c r="EM31" s="155"/>
      <c r="EN31" s="155"/>
      <c r="EO31" s="155"/>
      <c r="EP31" s="155"/>
      <c r="EQ31" s="155"/>
      <c r="ER31" s="155"/>
      <c r="ES31" s="155"/>
      <c r="ET31" s="155"/>
      <c r="EU31" s="155"/>
      <c r="EV31" s="155"/>
      <c r="EW31" s="155"/>
      <c r="EX31" s="155"/>
      <c r="EY31" s="155"/>
      <c r="EZ31" s="155"/>
      <c r="FA31" s="155"/>
      <c r="FB31" s="155"/>
      <c r="FC31" s="155"/>
      <c r="FD31" s="155"/>
      <c r="FE31" s="155"/>
      <c r="FF31" s="155"/>
      <c r="FG31" s="155"/>
      <c r="FH31" s="155"/>
      <c r="FI31" s="155"/>
      <c r="FJ31" s="155"/>
      <c r="FK31" s="155"/>
      <c r="FL31" s="155"/>
      <c r="FM31" s="155"/>
      <c r="FN31" s="155"/>
      <c r="FO31" s="155"/>
      <c r="FP31" s="155"/>
      <c r="FQ31" s="155"/>
      <c r="FR31" s="155"/>
      <c r="FS31" s="155"/>
      <c r="FT31" s="155"/>
      <c r="FU31" s="155"/>
      <c r="FV31" s="155"/>
      <c r="FW31" s="155"/>
      <c r="FX31" s="155"/>
      <c r="FY31" s="155"/>
      <c r="FZ31" s="155"/>
      <c r="GA31" s="155"/>
      <c r="GB31" s="155"/>
      <c r="GC31" s="155"/>
      <c r="GD31" s="155"/>
      <c r="GE31" s="155"/>
      <c r="GF31" s="155"/>
      <c r="GG31" s="155"/>
      <c r="GH31" s="155"/>
      <c r="GI31" s="155"/>
      <c r="GJ31" s="155"/>
      <c r="GK31" s="155"/>
      <c r="GL31" s="155"/>
      <c r="GM31" s="155"/>
      <c r="GN31" s="155"/>
    </row>
    <row r="32" spans="1:196" s="22" customFormat="1" ht="30" customHeight="1" thickBot="1" x14ac:dyDescent="0.4">
      <c r="A32" s="94"/>
      <c r="B32" s="92"/>
      <c r="C32" s="92"/>
      <c r="D32" s="84"/>
      <c r="E32" s="84"/>
      <c r="F32" s="84"/>
      <c r="G32" s="84"/>
      <c r="H32" s="84"/>
      <c r="I32" s="84"/>
      <c r="J32" s="84"/>
      <c r="K32" s="84"/>
      <c r="L32" s="84"/>
      <c r="M32" s="84"/>
      <c r="N32" s="100"/>
      <c r="O32" s="84"/>
      <c r="P32" s="84"/>
      <c r="Q32" s="85" t="s">
        <v>91</v>
      </c>
      <c r="R32" s="85"/>
      <c r="S32" s="85"/>
      <c r="T32" s="166">
        <f>Feuil2!K29</f>
        <v>0.84</v>
      </c>
      <c r="U32" s="86"/>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row>
    <row r="33" spans="1:196" s="22" customFormat="1" ht="30" customHeight="1" thickBot="1" x14ac:dyDescent="0.3">
      <c r="A33" s="94"/>
      <c r="B33" s="85" t="s">
        <v>107</v>
      </c>
      <c r="C33" s="84"/>
      <c r="D33" s="84"/>
      <c r="E33" s="84"/>
      <c r="F33" s="185" t="s">
        <v>38</v>
      </c>
      <c r="G33" s="84"/>
      <c r="H33" s="101"/>
      <c r="I33" s="84"/>
      <c r="J33" s="84"/>
      <c r="K33" s="84"/>
      <c r="L33" s="84"/>
      <c r="M33" s="84"/>
      <c r="N33" s="100"/>
      <c r="O33" s="84"/>
      <c r="P33" s="84"/>
      <c r="Q33" s="85" t="s">
        <v>92</v>
      </c>
      <c r="R33" s="85"/>
      <c r="S33" s="85"/>
      <c r="T33" s="167">
        <f>26*T32</f>
        <v>21.84</v>
      </c>
      <c r="U33" s="86"/>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5"/>
      <c r="BC33" s="155"/>
      <c r="BD33" s="155"/>
      <c r="BE33" s="155"/>
      <c r="BF33" s="155"/>
      <c r="BG33" s="155"/>
      <c r="BH33" s="155"/>
      <c r="BI33" s="155"/>
      <c r="BJ33" s="155"/>
      <c r="BK33" s="155"/>
      <c r="BL33" s="155"/>
      <c r="BM33" s="155"/>
      <c r="BN33" s="155"/>
      <c r="BO33" s="155"/>
      <c r="BP33" s="155"/>
      <c r="BQ33" s="155"/>
      <c r="BR33" s="155"/>
      <c r="BS33" s="155"/>
      <c r="BT33" s="155"/>
      <c r="BU33" s="155"/>
      <c r="BV33" s="155"/>
      <c r="BW33" s="155"/>
      <c r="BX33" s="155"/>
      <c r="BY33" s="155"/>
      <c r="BZ33" s="155"/>
      <c r="CA33" s="155"/>
      <c r="CB33" s="155"/>
      <c r="CC33" s="155"/>
      <c r="CD33" s="155"/>
      <c r="CE33" s="155"/>
      <c r="CF33" s="155"/>
      <c r="CG33" s="155"/>
      <c r="CH33" s="155"/>
      <c r="CI33" s="155"/>
      <c r="CJ33" s="155"/>
      <c r="CK33" s="155"/>
      <c r="CL33" s="155"/>
      <c r="CM33" s="155"/>
      <c r="CN33" s="155"/>
      <c r="CO33" s="155"/>
      <c r="CP33" s="155"/>
      <c r="CQ33" s="155"/>
      <c r="CR33" s="155"/>
      <c r="CS33" s="155"/>
      <c r="CT33" s="155"/>
      <c r="CU33" s="155"/>
      <c r="CV33" s="155"/>
      <c r="CW33" s="155"/>
      <c r="CX33" s="155"/>
      <c r="CY33" s="155"/>
      <c r="CZ33" s="155"/>
      <c r="DA33" s="155"/>
      <c r="DB33" s="155"/>
      <c r="DC33" s="155"/>
      <c r="DD33" s="155"/>
      <c r="DE33" s="155"/>
      <c r="DF33" s="155"/>
      <c r="DG33" s="155"/>
      <c r="DH33" s="155"/>
      <c r="DI33" s="155"/>
      <c r="DJ33" s="155"/>
      <c r="DK33" s="155"/>
      <c r="DL33" s="155"/>
      <c r="DM33" s="155"/>
      <c r="DN33" s="155"/>
      <c r="DO33" s="155"/>
      <c r="DP33" s="155"/>
      <c r="DQ33" s="155"/>
      <c r="DR33" s="155"/>
      <c r="DS33" s="155"/>
      <c r="DT33" s="155"/>
      <c r="DU33" s="155"/>
      <c r="DV33" s="155"/>
      <c r="DW33" s="155"/>
      <c r="DX33" s="155"/>
      <c r="DY33" s="155"/>
      <c r="DZ33" s="155"/>
      <c r="EA33" s="155"/>
      <c r="EB33" s="155"/>
      <c r="EC33" s="155"/>
      <c r="ED33" s="155"/>
      <c r="EE33" s="155"/>
      <c r="EF33" s="155"/>
      <c r="EG33" s="155"/>
      <c r="EH33" s="155"/>
      <c r="EI33" s="155"/>
      <c r="EJ33" s="155"/>
      <c r="EK33" s="155"/>
      <c r="EL33" s="155"/>
      <c r="EM33" s="155"/>
      <c r="EN33" s="155"/>
      <c r="EO33" s="155"/>
      <c r="EP33" s="155"/>
      <c r="EQ33" s="155"/>
      <c r="ER33" s="155"/>
      <c r="ES33" s="155"/>
      <c r="ET33" s="155"/>
      <c r="EU33" s="155"/>
      <c r="EV33" s="155"/>
      <c r="EW33" s="155"/>
      <c r="EX33" s="155"/>
      <c r="EY33" s="155"/>
      <c r="EZ33" s="155"/>
      <c r="FA33" s="155"/>
      <c r="FB33" s="155"/>
      <c r="FC33" s="155"/>
      <c r="FD33" s="155"/>
      <c r="FE33" s="155"/>
      <c r="FF33" s="155"/>
      <c r="FG33" s="155"/>
      <c r="FH33" s="155"/>
      <c r="FI33" s="155"/>
      <c r="FJ33" s="155"/>
      <c r="FK33" s="155"/>
      <c r="FL33" s="155"/>
      <c r="FM33" s="155"/>
      <c r="FN33" s="155"/>
      <c r="FO33" s="155"/>
      <c r="FP33" s="155"/>
      <c r="FQ33" s="155"/>
      <c r="FR33" s="155"/>
      <c r="FS33" s="155"/>
      <c r="FT33" s="155"/>
      <c r="FU33" s="155"/>
      <c r="FV33" s="155"/>
      <c r="FW33" s="155"/>
      <c r="FX33" s="155"/>
      <c r="FY33" s="155"/>
      <c r="FZ33" s="155"/>
      <c r="GA33" s="155"/>
      <c r="GB33" s="155"/>
      <c r="GC33" s="155"/>
      <c r="GD33" s="155"/>
      <c r="GE33" s="155"/>
      <c r="GF33" s="155"/>
      <c r="GG33" s="155"/>
      <c r="GH33" s="155"/>
      <c r="GI33" s="155"/>
      <c r="GJ33" s="155"/>
      <c r="GK33" s="155"/>
      <c r="GL33" s="155"/>
      <c r="GM33" s="155"/>
      <c r="GN33" s="155"/>
    </row>
    <row r="34" spans="1:196" s="22" customFormat="1" ht="30" customHeight="1" x14ac:dyDescent="0.35">
      <c r="A34" s="87"/>
      <c r="B34" s="92"/>
      <c r="C34" s="92"/>
      <c r="D34" s="153" t="str">
        <f>IF(AND(Feuil2!K27=Feuil2!K24,Feuil2!K17=Feuil2!K15),"Pour souscrire l'assurance vie des personnes à charge, vous devez avoir l'assurance vie de base","")</f>
        <v/>
      </c>
      <c r="E34" s="153"/>
      <c r="F34" s="84"/>
      <c r="G34" s="84"/>
      <c r="H34" s="84"/>
      <c r="I34" s="84"/>
      <c r="J34" s="84"/>
      <c r="K34" s="84"/>
      <c r="L34" s="84"/>
      <c r="M34" s="84"/>
      <c r="N34" s="100"/>
      <c r="O34" s="84"/>
      <c r="P34" s="84"/>
      <c r="Q34" s="89"/>
      <c r="R34" s="85" t="str">
        <f xml:space="preserve"> IF(T32&gt;0,"Ce coût n'inclut pas la taxe de 9%","")</f>
        <v>Ce coût n'inclut pas la taxe de 9%</v>
      </c>
      <c r="S34" s="85"/>
      <c r="T34" s="85"/>
      <c r="U34" s="86"/>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5"/>
      <c r="BQ34" s="155"/>
      <c r="BR34" s="155"/>
      <c r="BS34" s="155"/>
      <c r="BT34" s="155"/>
      <c r="BU34" s="155"/>
      <c r="BV34" s="155"/>
      <c r="BW34" s="155"/>
      <c r="BX34" s="155"/>
      <c r="BY34" s="155"/>
      <c r="BZ34" s="155"/>
      <c r="CA34" s="155"/>
      <c r="CB34" s="155"/>
      <c r="CC34" s="155"/>
      <c r="CD34" s="155"/>
      <c r="CE34" s="155"/>
      <c r="CF34" s="155"/>
      <c r="CG34" s="155"/>
      <c r="CH34" s="155"/>
      <c r="CI34" s="155"/>
      <c r="CJ34" s="155"/>
      <c r="CK34" s="155"/>
      <c r="CL34" s="155"/>
      <c r="CM34" s="155"/>
      <c r="CN34" s="155"/>
      <c r="CO34" s="155"/>
      <c r="CP34" s="155"/>
      <c r="CQ34" s="155"/>
      <c r="CR34" s="155"/>
      <c r="CS34" s="155"/>
      <c r="CT34" s="155"/>
      <c r="CU34" s="155"/>
      <c r="CV34" s="155"/>
      <c r="CW34" s="155"/>
      <c r="CX34" s="155"/>
      <c r="CY34" s="155"/>
      <c r="CZ34" s="155"/>
      <c r="DA34" s="155"/>
      <c r="DB34" s="155"/>
      <c r="DC34" s="155"/>
      <c r="DD34" s="155"/>
      <c r="DE34" s="155"/>
      <c r="DF34" s="155"/>
      <c r="DG34" s="155"/>
      <c r="DH34" s="155"/>
      <c r="DI34" s="155"/>
      <c r="DJ34" s="155"/>
      <c r="DK34" s="155"/>
      <c r="DL34" s="155"/>
      <c r="DM34" s="155"/>
      <c r="DN34" s="155"/>
      <c r="DO34" s="155"/>
      <c r="DP34" s="155"/>
      <c r="DQ34" s="155"/>
      <c r="DR34" s="155"/>
      <c r="DS34" s="155"/>
      <c r="DT34" s="155"/>
      <c r="DU34" s="155"/>
      <c r="DV34" s="155"/>
      <c r="DW34" s="155"/>
      <c r="DX34" s="155"/>
      <c r="DY34" s="155"/>
      <c r="DZ34" s="155"/>
      <c r="EA34" s="155"/>
      <c r="EB34" s="155"/>
      <c r="EC34" s="155"/>
      <c r="ED34" s="155"/>
      <c r="EE34" s="155"/>
      <c r="EF34" s="155"/>
      <c r="EG34" s="155"/>
      <c r="EH34" s="155"/>
      <c r="EI34" s="155"/>
      <c r="EJ34" s="155"/>
      <c r="EK34" s="155"/>
      <c r="EL34" s="155"/>
      <c r="EM34" s="155"/>
      <c r="EN34" s="155"/>
      <c r="EO34" s="155"/>
      <c r="EP34" s="155"/>
      <c r="EQ34" s="155"/>
      <c r="ER34" s="155"/>
      <c r="ES34" s="155"/>
      <c r="ET34" s="155"/>
      <c r="EU34" s="155"/>
      <c r="EV34" s="155"/>
      <c r="EW34" s="155"/>
      <c r="EX34" s="155"/>
      <c r="EY34" s="155"/>
      <c r="EZ34" s="155"/>
      <c r="FA34" s="155"/>
      <c r="FB34" s="155"/>
      <c r="FC34" s="155"/>
      <c r="FD34" s="155"/>
      <c r="FE34" s="155"/>
      <c r="FF34" s="155"/>
      <c r="FG34" s="155"/>
      <c r="FH34" s="155"/>
      <c r="FI34" s="155"/>
      <c r="FJ34" s="155"/>
      <c r="FK34" s="155"/>
      <c r="FL34" s="155"/>
      <c r="FM34" s="155"/>
      <c r="FN34" s="155"/>
      <c r="FO34" s="155"/>
      <c r="FP34" s="155"/>
      <c r="FQ34" s="155"/>
      <c r="FR34" s="155"/>
      <c r="FS34" s="155"/>
      <c r="FT34" s="155"/>
      <c r="FU34" s="155"/>
      <c r="FV34" s="155"/>
      <c r="FW34" s="155"/>
      <c r="FX34" s="155"/>
      <c r="FY34" s="155"/>
      <c r="FZ34" s="155"/>
      <c r="GA34" s="155"/>
      <c r="GB34" s="155"/>
      <c r="GC34" s="155"/>
      <c r="GD34" s="155"/>
      <c r="GE34" s="155"/>
      <c r="GF34" s="155"/>
      <c r="GG34" s="155"/>
      <c r="GH34" s="155"/>
      <c r="GI34" s="155"/>
      <c r="GJ34" s="155"/>
      <c r="GK34" s="155"/>
      <c r="GL34" s="155"/>
      <c r="GM34" s="155"/>
      <c r="GN34" s="155"/>
    </row>
    <row r="35" spans="1:196" ht="30" customHeight="1" thickBot="1" x14ac:dyDescent="0.4">
      <c r="A35" s="108"/>
      <c r="B35" s="109" t="s">
        <v>25</v>
      </c>
      <c r="C35" s="109"/>
      <c r="D35" s="110"/>
      <c r="E35" s="110"/>
      <c r="F35" s="110"/>
      <c r="G35" s="110"/>
      <c r="H35" s="110"/>
      <c r="I35" s="223" t="s">
        <v>183</v>
      </c>
      <c r="J35" s="223"/>
      <c r="K35" s="110"/>
      <c r="L35" s="110"/>
      <c r="M35" s="110"/>
      <c r="N35" s="110"/>
      <c r="O35" s="110"/>
      <c r="P35" s="110"/>
      <c r="Q35" s="126"/>
      <c r="R35" s="126"/>
      <c r="S35" s="126"/>
      <c r="T35" s="126"/>
      <c r="U35" s="111"/>
    </row>
    <row r="36" spans="1:196" ht="30" customHeight="1" thickBot="1" x14ac:dyDescent="0.4">
      <c r="A36" s="112"/>
      <c r="B36" s="113" t="s">
        <v>69</v>
      </c>
      <c r="C36" s="113"/>
      <c r="D36" s="114"/>
      <c r="E36" s="114"/>
      <c r="F36" s="114"/>
      <c r="G36" s="114"/>
      <c r="H36" s="114"/>
      <c r="I36" s="222"/>
      <c r="J36" s="222"/>
      <c r="K36" s="170">
        <f>Feuil2!Q49</f>
        <v>2.3E-2</v>
      </c>
      <c r="L36" s="114"/>
      <c r="M36" s="114"/>
      <c r="N36" s="114"/>
      <c r="O36" s="114"/>
      <c r="P36" s="158" t="s">
        <v>195</v>
      </c>
      <c r="Q36" s="218">
        <f>IF(AND(Feuil2!U44&gt;0,Feuil2!V47&gt;0),0,Feuil2!U44+Feuil2!V47)</f>
        <v>250000</v>
      </c>
      <c r="R36" s="219"/>
      <c r="S36" s="116"/>
      <c r="T36" s="116"/>
      <c r="U36" s="118"/>
    </row>
    <row r="37" spans="1:196" ht="30" customHeight="1" thickBot="1" x14ac:dyDescent="0.4">
      <c r="A37" s="112"/>
      <c r="B37" s="136"/>
      <c r="C37" s="136"/>
      <c r="D37" s="114"/>
      <c r="E37" s="114"/>
      <c r="F37" s="114" t="s">
        <v>44</v>
      </c>
      <c r="G37" s="114"/>
      <c r="H37" s="114"/>
      <c r="I37" s="114" t="s">
        <v>189</v>
      </c>
      <c r="J37" s="120"/>
      <c r="K37" s="120"/>
      <c r="L37" s="114"/>
      <c r="M37" s="114"/>
      <c r="N37" s="114"/>
      <c r="O37" s="114"/>
      <c r="P37" s="114"/>
      <c r="Q37" s="116"/>
      <c r="R37" s="116"/>
      <c r="S37" s="116"/>
      <c r="T37" s="116"/>
      <c r="U37" s="118"/>
    </row>
    <row r="38" spans="1:196" ht="30" customHeight="1" x14ac:dyDescent="0.25">
      <c r="A38" s="112"/>
      <c r="B38" s="116"/>
      <c r="C38" s="158" t="s">
        <v>188</v>
      </c>
      <c r="D38" s="185" t="s">
        <v>38</v>
      </c>
      <c r="E38" s="114"/>
      <c r="F38" s="189" t="s">
        <v>47</v>
      </c>
      <c r="G38" s="190"/>
      <c r="H38" s="191"/>
      <c r="I38" s="137"/>
      <c r="J38" s="120"/>
      <c r="K38" s="120"/>
      <c r="L38" s="114"/>
      <c r="M38" s="186">
        <v>0</v>
      </c>
      <c r="N38" s="114"/>
      <c r="O38" s="114"/>
      <c r="P38" s="114"/>
      <c r="Q38" s="116"/>
      <c r="R38" s="116"/>
      <c r="S38" s="116"/>
      <c r="T38" s="116"/>
      <c r="U38" s="118"/>
    </row>
    <row r="39" spans="1:196" ht="3.75" customHeight="1" thickBot="1" x14ac:dyDescent="0.3">
      <c r="A39" s="112"/>
      <c r="B39" s="116"/>
      <c r="C39" s="158"/>
      <c r="D39" s="114"/>
      <c r="E39" s="114"/>
      <c r="F39" s="114"/>
      <c r="G39" s="114"/>
      <c r="H39" s="114"/>
      <c r="I39" s="137"/>
      <c r="J39" s="120"/>
      <c r="K39" s="120"/>
      <c r="L39" s="114"/>
      <c r="M39" s="114"/>
      <c r="N39" s="114"/>
      <c r="O39" s="114"/>
      <c r="P39" s="114"/>
      <c r="Q39" s="116"/>
      <c r="R39" s="116"/>
      <c r="S39" s="116"/>
      <c r="T39" s="116"/>
      <c r="U39" s="118"/>
    </row>
    <row r="40" spans="1:196" ht="30" customHeight="1" thickBot="1" x14ac:dyDescent="0.3">
      <c r="A40" s="112"/>
      <c r="B40" s="116" t="s">
        <v>43</v>
      </c>
      <c r="C40" s="185" t="s">
        <v>58</v>
      </c>
      <c r="D40" s="114"/>
      <c r="E40" s="114"/>
      <c r="F40" s="189" t="s">
        <v>50</v>
      </c>
      <c r="G40" s="190"/>
      <c r="H40" s="191"/>
      <c r="I40" s="120" t="s">
        <v>190</v>
      </c>
      <c r="J40" s="137"/>
      <c r="K40" s="120"/>
      <c r="L40" s="128"/>
      <c r="M40" s="128"/>
      <c r="N40" s="114"/>
      <c r="O40" s="114"/>
      <c r="P40" s="114"/>
      <c r="Q40" s="116"/>
      <c r="R40" s="116"/>
      <c r="S40" s="158" t="s">
        <v>196</v>
      </c>
      <c r="T40" s="165">
        <f>ROUND(Q36/1000*K36,2)</f>
        <v>5.75</v>
      </c>
      <c r="U40" s="118"/>
    </row>
    <row r="41" spans="1:196" ht="30" customHeight="1" thickBot="1" x14ac:dyDescent="0.3">
      <c r="A41" s="112"/>
      <c r="B41" s="208" t="str">
        <f>IF(Feuil2!Q18=Feuil2!Q14,IF(OR(AND(Feuil2!K39=Feuil2!K36,Feuil2!K17=Feuil2!K15),AND(Feuil2!K39=Feuil2!K36,Feuil2!K17=Feuil2!K14,Feuil2!M18&lt;&gt;"Deux fois le salaire annuel")),Feuil2!K31,""),IF(Feuil2!Q18=Feuil2!Q15,IF(OR(AND(Feuil2!K39=Feuil2!K36,Feuil2!K17=Feuil2!K15),AND(Feuil2!K39=Feuil2!K36,Feuil2!K17=Feuil2!K14,Feuil2!M18&lt;&gt;"Une fois le salaire annuel")),Feuil2!K32,""),IF(Feuil2!K39=Feuil2!K36,Feuil2!K33,"")))</f>
        <v/>
      </c>
      <c r="C41" s="208"/>
      <c r="D41" s="208"/>
      <c r="E41" s="208"/>
      <c r="F41" s="208"/>
      <c r="G41" s="208"/>
      <c r="H41" s="208"/>
      <c r="I41" s="208"/>
      <c r="J41" s="137"/>
      <c r="K41" s="128"/>
      <c r="L41" s="128"/>
      <c r="M41" s="186">
        <v>250000</v>
      </c>
      <c r="N41" s="114"/>
      <c r="O41" s="114"/>
      <c r="P41" s="114"/>
      <c r="Q41" s="114"/>
      <c r="R41" s="114"/>
      <c r="S41" s="158" t="s">
        <v>197</v>
      </c>
      <c r="T41" s="168">
        <f>26*T40</f>
        <v>149.5</v>
      </c>
      <c r="U41" s="118"/>
    </row>
    <row r="42" spans="1:196" ht="30" customHeight="1" x14ac:dyDescent="0.25">
      <c r="A42" s="121"/>
      <c r="B42" s="209"/>
      <c r="C42" s="209"/>
      <c r="D42" s="209"/>
      <c r="E42" s="209"/>
      <c r="F42" s="209"/>
      <c r="G42" s="209"/>
      <c r="H42" s="209"/>
      <c r="I42" s="209"/>
      <c r="J42" s="140"/>
      <c r="K42" s="192" t="str">
        <f>IF(AND(M38&gt;0,M41&gt;0),"Pour changer votre protection, vous devez prendre seulement des tranches de 25 000$","")</f>
        <v/>
      </c>
      <c r="L42" s="192"/>
      <c r="M42" s="192"/>
      <c r="N42" s="192"/>
      <c r="O42" s="192"/>
      <c r="P42" s="192"/>
      <c r="Q42" s="139"/>
      <c r="R42" s="123" t="str">
        <f xml:space="preserve"> IF(T41&gt;0,"Ce coût n'inclut pas la taxe de 9%","")</f>
        <v>Ce coût n'inclut pas la taxe de 9%</v>
      </c>
      <c r="S42" s="141"/>
      <c r="T42" s="142"/>
      <c r="U42" s="143"/>
    </row>
    <row r="43" spans="1:196" ht="30" customHeight="1" thickBot="1" x14ac:dyDescent="0.4">
      <c r="A43" s="108"/>
      <c r="B43" s="113" t="s">
        <v>70</v>
      </c>
      <c r="C43" s="113"/>
      <c r="D43" s="114"/>
      <c r="E43" s="114"/>
      <c r="F43" s="114"/>
      <c r="G43" s="114"/>
      <c r="H43" s="114"/>
      <c r="I43" s="224" t="s">
        <v>183</v>
      </c>
      <c r="J43" s="224"/>
      <c r="K43" s="114"/>
      <c r="L43" s="114"/>
      <c r="M43" s="114"/>
      <c r="N43" s="114"/>
      <c r="O43" s="114"/>
      <c r="P43" s="114"/>
      <c r="Q43" s="116"/>
      <c r="R43" s="116"/>
      <c r="S43" s="116"/>
      <c r="T43" s="116"/>
      <c r="U43" s="118"/>
    </row>
    <row r="44" spans="1:196" ht="30" customHeight="1" thickBot="1" x14ac:dyDescent="0.4">
      <c r="A44" s="112"/>
      <c r="B44" s="136"/>
      <c r="C44" s="136"/>
      <c r="D44" s="114"/>
      <c r="E44" s="114"/>
      <c r="F44" s="114"/>
      <c r="G44" s="114"/>
      <c r="H44" s="114"/>
      <c r="I44" s="224"/>
      <c r="J44" s="224"/>
      <c r="K44" s="170">
        <f>Feuil2!Q51</f>
        <v>1.2999999999999999E-2</v>
      </c>
      <c r="L44" s="114"/>
      <c r="M44" s="114"/>
      <c r="N44" s="114"/>
      <c r="O44" s="114"/>
      <c r="P44" s="158" t="s">
        <v>195</v>
      </c>
      <c r="Q44" s="216">
        <f>IF(AND(Feuil2!U46&gt;0,Feuil2!V49&gt;0),0,Feuil2!U46+Feuil2!V49)</f>
        <v>250000</v>
      </c>
      <c r="R44" s="217"/>
      <c r="S44" s="116"/>
      <c r="T44" s="116"/>
      <c r="U44" s="118"/>
    </row>
    <row r="45" spans="1:196" ht="30" customHeight="1" thickBot="1" x14ac:dyDescent="0.4">
      <c r="A45" s="112"/>
      <c r="B45" s="136"/>
      <c r="C45" s="136"/>
      <c r="D45" s="114"/>
      <c r="E45" s="114"/>
      <c r="F45" s="114" t="s">
        <v>44</v>
      </c>
      <c r="G45" s="114"/>
      <c r="H45" s="114"/>
      <c r="I45" s="114" t="s">
        <v>82</v>
      </c>
      <c r="J45" s="151"/>
      <c r="K45" s="151"/>
      <c r="L45" s="114"/>
      <c r="M45" s="114"/>
      <c r="N45" s="114"/>
      <c r="O45" s="114"/>
      <c r="P45" s="114"/>
      <c r="Q45" s="114"/>
      <c r="R45" s="114"/>
      <c r="S45" s="116"/>
      <c r="T45" s="116"/>
      <c r="U45" s="118"/>
    </row>
    <row r="46" spans="1:196" ht="30" customHeight="1" x14ac:dyDescent="0.25">
      <c r="A46" s="112"/>
      <c r="B46" s="160"/>
      <c r="C46" s="158" t="s">
        <v>188</v>
      </c>
      <c r="D46" s="185" t="s">
        <v>38</v>
      </c>
      <c r="E46" s="114"/>
      <c r="F46" s="189" t="s">
        <v>48</v>
      </c>
      <c r="G46" s="190"/>
      <c r="H46" s="191"/>
      <c r="I46" s="114"/>
      <c r="J46" s="120"/>
      <c r="K46" s="114"/>
      <c r="L46" s="114"/>
      <c r="M46" s="186">
        <v>0</v>
      </c>
      <c r="N46" s="114"/>
      <c r="O46" s="114"/>
      <c r="P46" s="114"/>
      <c r="Q46" s="116"/>
      <c r="R46" s="116"/>
      <c r="S46" s="116"/>
      <c r="T46" s="116"/>
      <c r="U46" s="118"/>
    </row>
    <row r="47" spans="1:196" ht="3.75" customHeight="1" thickBot="1" x14ac:dyDescent="0.3">
      <c r="A47" s="112"/>
      <c r="B47" s="160"/>
      <c r="C47" s="158"/>
      <c r="D47" s="181"/>
      <c r="E47" s="181"/>
      <c r="F47" s="114"/>
      <c r="G47" s="114"/>
      <c r="H47" s="114"/>
      <c r="I47" s="114"/>
      <c r="J47" s="120"/>
      <c r="K47" s="114"/>
      <c r="L47" s="114"/>
      <c r="M47" s="114"/>
      <c r="N47" s="114"/>
      <c r="O47" s="114"/>
      <c r="P47" s="114"/>
      <c r="Q47" s="116"/>
      <c r="R47" s="116"/>
      <c r="S47" s="116"/>
      <c r="T47" s="116"/>
      <c r="U47" s="118"/>
    </row>
    <row r="48" spans="1:196" ht="30" customHeight="1" thickBot="1" x14ac:dyDescent="0.3">
      <c r="A48" s="112"/>
      <c r="B48" s="116" t="s">
        <v>43</v>
      </c>
      <c r="C48" s="185" t="s">
        <v>58</v>
      </c>
      <c r="D48" s="114"/>
      <c r="E48" s="114"/>
      <c r="F48" s="189" t="s">
        <v>54</v>
      </c>
      <c r="G48" s="190"/>
      <c r="H48" s="191"/>
      <c r="I48" s="120" t="s">
        <v>83</v>
      </c>
      <c r="J48" s="120"/>
      <c r="K48" s="128"/>
      <c r="L48" s="128"/>
      <c r="M48" s="128"/>
      <c r="N48" s="114"/>
      <c r="O48" s="114"/>
      <c r="P48" s="114"/>
      <c r="Q48" s="116"/>
      <c r="R48" s="116"/>
      <c r="S48" s="116"/>
      <c r="T48" s="116"/>
      <c r="U48" s="118"/>
    </row>
    <row r="49" spans="1:23" ht="30" customHeight="1" thickBot="1" x14ac:dyDescent="0.3">
      <c r="A49" s="112"/>
      <c r="B49" s="205" t="str">
        <f>IF(AND(Feuil2!M39=Feuil2!M36,Feuil2!K27=Feuil2!K25),Feuil2!K53,IF(AND(Feuil2!M39=Feuil2!M36,Feuil2!K17=Feuil2!K15),Feuil2!K54,""))</f>
        <v/>
      </c>
      <c r="C49" s="205"/>
      <c r="D49" s="205"/>
      <c r="E49" s="205"/>
      <c r="F49" s="205"/>
      <c r="G49" s="205"/>
      <c r="H49" s="205"/>
      <c r="I49" s="205"/>
      <c r="J49" s="137"/>
      <c r="K49" s="128"/>
      <c r="L49" s="128"/>
      <c r="M49" s="186">
        <v>250000</v>
      </c>
      <c r="N49" s="114"/>
      <c r="O49" s="114"/>
      <c r="P49" s="114"/>
      <c r="Q49" s="114"/>
      <c r="R49" s="114"/>
      <c r="S49" s="158" t="s">
        <v>91</v>
      </c>
      <c r="T49" s="165">
        <f>IF(B49="",ROUND(Q44/1000*K44,2),0)</f>
        <v>3.25</v>
      </c>
      <c r="U49" s="118"/>
    </row>
    <row r="50" spans="1:23" ht="30" customHeight="1" thickBot="1" x14ac:dyDescent="0.3">
      <c r="A50" s="112"/>
      <c r="B50" s="114"/>
      <c r="C50" s="114"/>
      <c r="D50" s="114"/>
      <c r="E50" s="114"/>
      <c r="F50" s="114"/>
      <c r="G50" s="114"/>
      <c r="H50" s="114"/>
      <c r="I50" s="137"/>
      <c r="J50" s="137"/>
      <c r="K50" s="195" t="str">
        <f>IF(AND(M46&gt;0,M49&gt;0),"Pour changer votre protection, vous devez prendre seulement des tranches de 25 000$","")</f>
        <v/>
      </c>
      <c r="L50" s="195"/>
      <c r="M50" s="195"/>
      <c r="N50" s="195"/>
      <c r="O50" s="195"/>
      <c r="P50" s="195"/>
      <c r="Q50" s="114"/>
      <c r="R50" s="114"/>
      <c r="S50" s="158" t="s">
        <v>92</v>
      </c>
      <c r="T50" s="168">
        <f>26*T49</f>
        <v>84.5</v>
      </c>
      <c r="U50" s="118"/>
    </row>
    <row r="51" spans="1:23" ht="30" customHeight="1" x14ac:dyDescent="0.25">
      <c r="A51" s="121"/>
      <c r="B51" s="122"/>
      <c r="C51" s="122"/>
      <c r="D51" s="122"/>
      <c r="E51" s="122"/>
      <c r="F51" s="122"/>
      <c r="G51" s="122"/>
      <c r="H51" s="122"/>
      <c r="I51" s="144"/>
      <c r="J51" s="144"/>
      <c r="K51" s="145"/>
      <c r="L51" s="145"/>
      <c r="M51" s="145"/>
      <c r="N51" s="122"/>
      <c r="O51" s="122"/>
      <c r="P51" s="122"/>
      <c r="Q51" s="123"/>
      <c r="R51" s="123" t="str">
        <f xml:space="preserve"> IF(T50&gt;0,"Ce coût n'inclut pas la taxe de 9%","")</f>
        <v>Ce coût n'inclut pas la taxe de 9%</v>
      </c>
      <c r="S51" s="123"/>
      <c r="T51" s="146"/>
      <c r="U51" s="124"/>
    </row>
    <row r="52" spans="1:23" ht="30" customHeight="1" thickBot="1" x14ac:dyDescent="0.3">
      <c r="A52" s="93"/>
      <c r="B52" s="206" t="s">
        <v>99</v>
      </c>
      <c r="C52" s="206"/>
      <c r="D52" s="196" t="s">
        <v>203</v>
      </c>
      <c r="E52" s="197"/>
      <c r="F52" s="197"/>
      <c r="G52" s="197"/>
      <c r="H52" s="197"/>
      <c r="I52" s="197"/>
      <c r="J52" s="197"/>
      <c r="K52" s="197"/>
      <c r="L52" s="197"/>
      <c r="M52" s="197"/>
      <c r="N52" s="197"/>
      <c r="O52" s="198"/>
      <c r="P52" s="82"/>
      <c r="Q52" s="97"/>
      <c r="R52" s="97"/>
      <c r="S52" s="97"/>
      <c r="T52" s="97"/>
      <c r="U52" s="83"/>
    </row>
    <row r="53" spans="1:23" ht="30" customHeight="1" thickBot="1" x14ac:dyDescent="0.3">
      <c r="A53" s="94"/>
      <c r="B53" s="207"/>
      <c r="C53" s="207"/>
      <c r="D53" s="199"/>
      <c r="E53" s="200"/>
      <c r="F53" s="200"/>
      <c r="G53" s="200"/>
      <c r="H53" s="200"/>
      <c r="I53" s="200"/>
      <c r="J53" s="200"/>
      <c r="K53" s="200"/>
      <c r="L53" s="200"/>
      <c r="M53" s="200"/>
      <c r="N53" s="200"/>
      <c r="O53" s="201"/>
      <c r="P53" s="84"/>
      <c r="Q53" s="85" t="s">
        <v>91</v>
      </c>
      <c r="R53" s="85"/>
      <c r="S53" s="85"/>
      <c r="T53" s="166">
        <f>T49+T40+T32+T27+T19+T13+T9+T4</f>
        <v>140.24</v>
      </c>
      <c r="U53" s="86"/>
    </row>
    <row r="54" spans="1:23" ht="30" customHeight="1" thickBot="1" x14ac:dyDescent="0.3">
      <c r="A54" s="94"/>
      <c r="B54" s="106"/>
      <c r="C54" s="161"/>
      <c r="D54" s="202"/>
      <c r="E54" s="203"/>
      <c r="F54" s="203"/>
      <c r="G54" s="203"/>
      <c r="H54" s="203"/>
      <c r="I54" s="203"/>
      <c r="J54" s="203"/>
      <c r="K54" s="203"/>
      <c r="L54" s="203"/>
      <c r="M54" s="203"/>
      <c r="N54" s="203"/>
      <c r="O54" s="204"/>
      <c r="P54" s="84"/>
      <c r="Q54" s="85"/>
      <c r="R54" s="85"/>
      <c r="S54" s="85" t="s">
        <v>100</v>
      </c>
      <c r="T54" s="166">
        <f>ROUND(T53*0.09,2)</f>
        <v>12.62</v>
      </c>
      <c r="U54" s="86"/>
      <c r="W54" s="156"/>
    </row>
    <row r="55" spans="1:23" ht="30" customHeight="1" thickBot="1" x14ac:dyDescent="0.3">
      <c r="A55" s="94"/>
      <c r="B55" s="161"/>
      <c r="C55" s="161"/>
      <c r="D55" s="84"/>
      <c r="E55" s="84"/>
      <c r="F55" s="84"/>
      <c r="G55" s="84"/>
      <c r="H55" s="84"/>
      <c r="I55" s="84"/>
      <c r="J55" s="84"/>
      <c r="K55" s="84"/>
      <c r="L55" s="84"/>
      <c r="M55" s="84"/>
      <c r="N55" s="84"/>
      <c r="O55" s="84"/>
      <c r="P55" s="84"/>
      <c r="Q55" s="85"/>
      <c r="R55" s="85"/>
      <c r="S55" s="178" t="s">
        <v>198</v>
      </c>
      <c r="T55" s="166">
        <f>T53+T54</f>
        <v>152.86000000000001</v>
      </c>
      <c r="U55" s="86"/>
      <c r="W55" s="156"/>
    </row>
    <row r="56" spans="1:23" ht="15" customHeight="1" thickBot="1" x14ac:dyDescent="0.3">
      <c r="A56" s="94"/>
      <c r="B56" s="161"/>
      <c r="C56" s="161"/>
      <c r="D56" s="84"/>
      <c r="E56" s="84"/>
      <c r="F56" s="84"/>
      <c r="G56" s="84"/>
      <c r="H56" s="84"/>
      <c r="I56" s="84"/>
      <c r="J56" s="84"/>
      <c r="K56" s="84"/>
      <c r="L56" s="84"/>
      <c r="M56" s="84"/>
      <c r="N56" s="84"/>
      <c r="O56" s="84"/>
      <c r="P56" s="84"/>
      <c r="Q56" s="85"/>
      <c r="R56" s="85"/>
      <c r="S56" s="85"/>
      <c r="T56" s="172"/>
      <c r="U56" s="86"/>
      <c r="W56" s="156"/>
    </row>
    <row r="57" spans="1:23" ht="30" customHeight="1" x14ac:dyDescent="0.25">
      <c r="A57" s="94"/>
      <c r="B57" s="161"/>
      <c r="C57" s="161"/>
      <c r="D57" s="84"/>
      <c r="E57" s="84"/>
      <c r="F57" s="84"/>
      <c r="G57" s="84"/>
      <c r="H57" s="84"/>
      <c r="I57" s="84"/>
      <c r="J57" s="84"/>
      <c r="K57" s="84"/>
      <c r="L57" s="84"/>
      <c r="M57" s="84"/>
      <c r="N57" s="84"/>
      <c r="O57" s="84"/>
      <c r="P57" s="84"/>
      <c r="Q57" s="85"/>
      <c r="R57" s="85"/>
      <c r="S57" s="183" t="s">
        <v>200</v>
      </c>
      <c r="T57" s="187">
        <v>0</v>
      </c>
      <c r="U57" s="182"/>
      <c r="W57" s="156"/>
    </row>
    <row r="58" spans="1:23" ht="15" customHeight="1" thickBot="1" x14ac:dyDescent="0.3">
      <c r="A58" s="94"/>
      <c r="B58" s="161"/>
      <c r="C58" s="161"/>
      <c r="D58" s="84"/>
      <c r="E58" s="84"/>
      <c r="F58" s="84"/>
      <c r="G58" s="84"/>
      <c r="H58" s="84"/>
      <c r="I58" s="84"/>
      <c r="J58" s="84"/>
      <c r="K58" s="84"/>
      <c r="L58" s="84"/>
      <c r="M58" s="84"/>
      <c r="N58" s="84"/>
      <c r="O58" s="84"/>
      <c r="P58" s="84"/>
      <c r="Q58" s="85"/>
      <c r="R58" s="85"/>
      <c r="S58" s="184" t="s">
        <v>199</v>
      </c>
      <c r="T58" s="172"/>
      <c r="U58" s="86"/>
      <c r="W58" s="156"/>
    </row>
    <row r="59" spans="1:23" ht="29.25" customHeight="1" thickBot="1" x14ac:dyDescent="0.3">
      <c r="A59" s="94"/>
      <c r="B59" s="106"/>
      <c r="C59" s="161"/>
      <c r="D59" s="84"/>
      <c r="E59" s="84"/>
      <c r="F59" s="84"/>
      <c r="G59" s="84"/>
      <c r="H59" s="84"/>
      <c r="I59" s="84"/>
      <c r="J59" s="84"/>
      <c r="K59" s="84"/>
      <c r="L59" s="84"/>
      <c r="M59" s="84"/>
      <c r="N59" s="84"/>
      <c r="O59" s="84"/>
      <c r="P59" s="84"/>
      <c r="Q59" s="85"/>
      <c r="R59" s="85"/>
      <c r="S59" s="107" t="s">
        <v>101</v>
      </c>
      <c r="T59" s="171">
        <f>T55-T57</f>
        <v>152.86000000000001</v>
      </c>
      <c r="U59" s="86"/>
    </row>
    <row r="60" spans="1:23" ht="30" customHeight="1" thickBot="1" x14ac:dyDescent="0.3">
      <c r="A60" s="94"/>
      <c r="B60" s="106"/>
      <c r="C60" s="161"/>
      <c r="D60" s="84"/>
      <c r="E60" s="84"/>
      <c r="F60" s="84"/>
      <c r="G60" s="84"/>
      <c r="H60" s="84"/>
      <c r="I60" s="84"/>
      <c r="J60" s="84"/>
      <c r="K60" s="84"/>
      <c r="L60" s="84"/>
      <c r="M60" s="84"/>
      <c r="N60" s="84"/>
      <c r="O60" s="84"/>
      <c r="P60" s="84"/>
      <c r="Q60" s="85"/>
      <c r="R60" s="85"/>
      <c r="S60" s="85"/>
      <c r="T60" s="85"/>
      <c r="U60" s="86"/>
    </row>
    <row r="61" spans="1:23" ht="30" customHeight="1" thickBot="1" x14ac:dyDescent="0.3">
      <c r="A61" s="94"/>
      <c r="B61" s="84"/>
      <c r="C61" s="84"/>
      <c r="D61" s="84"/>
      <c r="E61" s="84"/>
      <c r="F61" s="84"/>
      <c r="G61" s="84"/>
      <c r="H61" s="84"/>
      <c r="I61" s="84"/>
      <c r="J61" s="84"/>
      <c r="K61" s="84"/>
      <c r="L61" s="84"/>
      <c r="M61" s="84"/>
      <c r="N61" s="84"/>
      <c r="O61" s="84"/>
      <c r="P61" s="84"/>
      <c r="Q61" s="85"/>
      <c r="R61" s="85"/>
      <c r="S61" s="107" t="s">
        <v>102</v>
      </c>
      <c r="T61" s="171">
        <f>26*T59</f>
        <v>3974.3600000000006</v>
      </c>
      <c r="U61" s="86"/>
    </row>
    <row r="62" spans="1:23" ht="30" customHeight="1" x14ac:dyDescent="0.25">
      <c r="A62" s="87"/>
      <c r="B62" s="88"/>
      <c r="C62" s="88"/>
      <c r="D62" s="88"/>
      <c r="E62" s="88"/>
      <c r="F62" s="88"/>
      <c r="G62" s="88"/>
      <c r="H62" s="88"/>
      <c r="I62" s="88"/>
      <c r="J62" s="88"/>
      <c r="K62" s="88"/>
      <c r="L62" s="88"/>
      <c r="M62" s="88"/>
      <c r="N62" s="88"/>
      <c r="O62" s="88"/>
      <c r="P62" s="88"/>
      <c r="Q62" s="89"/>
      <c r="R62" s="89"/>
      <c r="S62" s="89"/>
      <c r="T62" s="89"/>
      <c r="U62" s="90"/>
    </row>
    <row r="63" spans="1:23" ht="21" customHeight="1" x14ac:dyDescent="0.25"/>
    <row r="64" spans="1:23" ht="21" customHeight="1" x14ac:dyDescent="0.25"/>
    <row r="65" ht="21" customHeight="1" x14ac:dyDescent="0.25"/>
    <row r="66" ht="21" customHeight="1" x14ac:dyDescent="0.25"/>
    <row r="67" ht="21" customHeight="1" x14ac:dyDescent="0.25"/>
    <row r="68" ht="21" customHeight="1" x14ac:dyDescent="0.25"/>
    <row r="69" ht="21" customHeight="1" x14ac:dyDescent="0.25"/>
    <row r="70" ht="21" customHeight="1" x14ac:dyDescent="0.25"/>
    <row r="71" ht="21" customHeight="1" x14ac:dyDescent="0.25"/>
    <row r="72" ht="21" customHeight="1" x14ac:dyDescent="0.25"/>
  </sheetData>
  <sheetProtection selectLockedCells="1"/>
  <mergeCells count="32">
    <mergeCell ref="R1:U2"/>
    <mergeCell ref="B1:B2"/>
    <mergeCell ref="D1:Q2"/>
    <mergeCell ref="D4:I4"/>
    <mergeCell ref="Q44:R44"/>
    <mergeCell ref="Q36:R36"/>
    <mergeCell ref="J18:K19"/>
    <mergeCell ref="J23:K25"/>
    <mergeCell ref="J12:K13"/>
    <mergeCell ref="I35:J36"/>
    <mergeCell ref="I43:J44"/>
    <mergeCell ref="H28:J28"/>
    <mergeCell ref="B20:I20"/>
    <mergeCell ref="K9:M9"/>
    <mergeCell ref="F38:H38"/>
    <mergeCell ref="B15:I15"/>
    <mergeCell ref="F46:H46"/>
    <mergeCell ref="F48:H48"/>
    <mergeCell ref="K50:P50"/>
    <mergeCell ref="D52:O54"/>
    <mergeCell ref="B29:C29"/>
    <mergeCell ref="B49:I49"/>
    <mergeCell ref="B52:C53"/>
    <mergeCell ref="F40:H40"/>
    <mergeCell ref="B41:I42"/>
    <mergeCell ref="O23:R23"/>
    <mergeCell ref="D6:I6"/>
    <mergeCell ref="K4:M4"/>
    <mergeCell ref="D9:I9"/>
    <mergeCell ref="K42:P42"/>
    <mergeCell ref="B13:H13"/>
    <mergeCell ref="B21:I21"/>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000-000000000000}">
          <x14:formula1>
            <xm:f>Feuil2!C2:C4</xm:f>
          </x14:formula1>
          <xm:sqref>D6:E6</xm:sqref>
        </x14:dataValidation>
        <x14:dataValidation type="list" allowBlank="1" showInputMessage="1" showErrorMessage="1" xr:uid="{00000000-0002-0000-0000-000001000000}">
          <x14:formula1>
            <xm:f>Feuil2!A2:A5</xm:f>
          </x14:formula1>
          <xm:sqref>D4:I4</xm:sqref>
        </x14:dataValidation>
        <x14:dataValidation type="list" allowBlank="1" showInputMessage="1" showErrorMessage="1" xr:uid="{00000000-0002-0000-0000-000002000000}">
          <x14:formula1>
            <xm:f>Feuil2!B2:B5</xm:f>
          </x14:formula1>
          <xm:sqref>K4:M4</xm:sqref>
        </x14:dataValidation>
        <x14:dataValidation type="list" allowBlank="1" showInputMessage="1" showErrorMessage="1" xr:uid="{00000000-0002-0000-0000-000003000000}">
          <x14:formula1>
            <xm:f>Feuil2!K2:K4</xm:f>
          </x14:formula1>
          <xm:sqref>D9:I9</xm:sqref>
        </x14:dataValidation>
        <x14:dataValidation type="list" allowBlank="1" showInputMessage="1" showErrorMessage="1" xr:uid="{00000000-0002-0000-0000-000004000000}">
          <x14:formula1>
            <xm:f>Feuil2!A26:A40</xm:f>
          </x14:formula1>
          <xm:sqref>B15:I15</xm:sqref>
        </x14:dataValidation>
        <x14:dataValidation type="list" allowBlank="1" showInputMessage="1" showErrorMessage="1" xr:uid="{00000000-0002-0000-0000-000005000000}">
          <x14:formula1>
            <xm:f>Feuil2!H27:H28</xm:f>
          </x14:formula1>
          <xm:sqref>F19</xm:sqref>
        </x14:dataValidation>
        <x14:dataValidation type="list" allowBlank="1" showInputMessage="1" showErrorMessage="1" xr:uid="{00000000-0002-0000-0000-000006000000}">
          <x14:formula1>
            <xm:f>Feuil2!K14:K15</xm:f>
          </x14:formula1>
          <xm:sqref>D27</xm:sqref>
        </x14:dataValidation>
        <x14:dataValidation type="list" allowBlank="1" showInputMessage="1" showErrorMessage="1" xr:uid="{00000000-0002-0000-0000-000007000000}">
          <x14:formula1>
            <xm:f>Feuil2!K24:K25</xm:f>
          </x14:formula1>
          <xm:sqref>F33</xm:sqref>
        </x14:dataValidation>
        <x14:dataValidation type="list" allowBlank="1" showInputMessage="1" showErrorMessage="1" xr:uid="{00000000-0002-0000-0000-000008000000}">
          <x14:formula1>
            <xm:f>Feuil2!K36:K37</xm:f>
          </x14:formula1>
          <xm:sqref>E39 D38:D39</xm:sqref>
        </x14:dataValidation>
        <x14:dataValidation type="list" allowBlank="1" showInputMessage="1" showErrorMessage="1" xr:uid="{00000000-0002-0000-0000-000009000000}">
          <x14:formula1>
            <xm:f>Feuil2!O37:O46</xm:f>
          </x14:formula1>
          <xm:sqref>C40</xm:sqref>
        </x14:dataValidation>
        <x14:dataValidation type="list" allowBlank="1" showInputMessage="1" showErrorMessage="1" xr:uid="{00000000-0002-0000-0000-00000A000000}">
          <x14:formula1>
            <xm:f>Feuil2!M15:M16</xm:f>
          </x14:formula1>
          <xm:sqref>O23</xm:sqref>
        </x14:dataValidation>
        <x14:dataValidation type="list" allowBlank="1" showInputMessage="1" showErrorMessage="1" xr:uid="{00000000-0002-0000-0000-00000B000000}">
          <x14:formula1>
            <xm:f>Feuil2!Q14:Q16</xm:f>
          </x14:formula1>
          <xm:sqref>B29:C29</xm:sqref>
        </x14:dataValidation>
        <x14:dataValidation type="list" allowBlank="1" showInputMessage="1" showErrorMessage="1" xr:uid="{00000000-0002-0000-0000-00000C000000}">
          <x14:formula1>
            <xm:f>Feuil2!K42:K43</xm:f>
          </x14:formula1>
          <xm:sqref>F38:H38</xm:sqref>
        </x14:dataValidation>
        <x14:dataValidation type="list" allowBlank="1" showInputMessage="1" showErrorMessage="1" xr:uid="{00000000-0002-0000-0000-00000D000000}">
          <x14:formula1>
            <xm:f>Feuil2!K48:K49</xm:f>
          </x14:formula1>
          <xm:sqref>F40:H40</xm:sqref>
        </x14:dataValidation>
        <x14:dataValidation type="list" allowBlank="1" showInputMessage="1" showErrorMessage="1" xr:uid="{00000000-0002-0000-0000-00000E000000}">
          <x14:formula1>
            <xm:f>Feuil2!U35:U42</xm:f>
          </x14:formula1>
          <xm:sqref>M38 M46</xm:sqref>
        </x14:dataValidation>
        <x14:dataValidation type="list" allowBlank="1" showInputMessage="1" showErrorMessage="1" xr:uid="{00000000-0002-0000-0000-00000F000000}">
          <x14:formula1>
            <xm:f>Feuil2!V35:V45</xm:f>
          </x14:formula1>
          <xm:sqref>M41 M49</xm:sqref>
        </x14:dataValidation>
        <x14:dataValidation type="list" allowBlank="1" showInputMessage="1" showErrorMessage="1" xr:uid="{00000000-0002-0000-0000-000010000000}">
          <x14:formula1>
            <xm:f>Feuil2!M42:M43</xm:f>
          </x14:formula1>
          <xm:sqref>F46:H46</xm:sqref>
        </x14:dataValidation>
        <x14:dataValidation type="list" allowBlank="1" showInputMessage="1" showErrorMessage="1" xr:uid="{00000000-0002-0000-0000-000011000000}">
          <x14:formula1>
            <xm:f>Feuil2!M48:M49</xm:f>
          </x14:formula1>
          <xm:sqref>F48:H48</xm:sqref>
        </x14:dataValidation>
        <x14:dataValidation type="list" allowBlank="1" showInputMessage="1" showErrorMessage="1" xr:uid="{00000000-0002-0000-0000-000012000000}">
          <x14:formula1>
            <xm:f>Feuil2!$M$36:$M$37</xm:f>
          </x14:formula1>
          <xm:sqref>D46</xm:sqref>
        </x14:dataValidation>
        <x14:dataValidation type="list" allowBlank="1" showInputMessage="1" showErrorMessage="1" xr:uid="{00000000-0002-0000-0000-000013000000}">
          <x14:formula1>
            <xm:f>Feuil2!$O$37:$O$46</xm:f>
          </x14:formula1>
          <xm:sqref>C48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V54"/>
  <sheetViews>
    <sheetView workbookViewId="0">
      <selection activeCell="A8" sqref="A8"/>
    </sheetView>
  </sheetViews>
  <sheetFormatPr baseColWidth="10" defaultRowHeight="15" x14ac:dyDescent="0.25"/>
  <cols>
    <col min="1" max="1" width="42.42578125" customWidth="1"/>
    <col min="2" max="2" width="21" customWidth="1"/>
    <col min="3" max="3" width="18.42578125" customWidth="1"/>
    <col min="4" max="4" width="5" customWidth="1"/>
    <col min="5" max="5" width="15.42578125" customWidth="1"/>
    <col min="10" max="10" width="11.140625" customWidth="1"/>
    <col min="11" max="11" width="13.28515625" customWidth="1"/>
    <col min="13" max="13" width="13" customWidth="1"/>
    <col min="15" max="15" width="15.140625" customWidth="1"/>
    <col min="18" max="18" width="12.7109375" customWidth="1"/>
    <col min="21" max="21" width="13" bestFit="1" customWidth="1"/>
    <col min="22" max="22" width="13.140625" customWidth="1"/>
  </cols>
  <sheetData>
    <row r="1" spans="1:17" x14ac:dyDescent="0.25">
      <c r="A1" s="1" t="s">
        <v>9</v>
      </c>
      <c r="B1" s="1" t="s">
        <v>84</v>
      </c>
      <c r="C1" s="1" t="s">
        <v>19</v>
      </c>
      <c r="D1" s="1"/>
      <c r="E1" s="1" t="s">
        <v>12</v>
      </c>
      <c r="F1" s="5" t="s">
        <v>23</v>
      </c>
      <c r="G1" s="6"/>
      <c r="H1" s="6"/>
      <c r="I1" s="7"/>
      <c r="K1" s="1" t="s">
        <v>31</v>
      </c>
      <c r="N1" t="s">
        <v>12</v>
      </c>
    </row>
    <row r="2" spans="1:17" x14ac:dyDescent="0.25">
      <c r="A2" t="s">
        <v>85</v>
      </c>
      <c r="B2" t="s">
        <v>88</v>
      </c>
      <c r="C2" t="s">
        <v>20</v>
      </c>
      <c r="F2" s="8" t="s">
        <v>5</v>
      </c>
      <c r="G2" s="9" t="s">
        <v>6</v>
      </c>
      <c r="H2" s="9" t="s">
        <v>7</v>
      </c>
      <c r="I2" s="10"/>
      <c r="K2" t="s">
        <v>34</v>
      </c>
      <c r="O2" s="9" t="s">
        <v>32</v>
      </c>
      <c r="P2" t="s">
        <v>33</v>
      </c>
    </row>
    <row r="3" spans="1:17" x14ac:dyDescent="0.25">
      <c r="A3" t="s">
        <v>86</v>
      </c>
      <c r="B3" t="s">
        <v>89</v>
      </c>
      <c r="C3" t="s">
        <v>21</v>
      </c>
      <c r="E3" s="4" t="s">
        <v>88</v>
      </c>
      <c r="F3" s="15">
        <v>32.44</v>
      </c>
      <c r="G3" s="16">
        <v>41.22</v>
      </c>
      <c r="H3" s="16">
        <v>47.53</v>
      </c>
      <c r="I3" s="10"/>
      <c r="K3" t="s">
        <v>104</v>
      </c>
      <c r="N3" s="4" t="s">
        <v>14</v>
      </c>
      <c r="O3" s="16">
        <v>9.41</v>
      </c>
      <c r="P3" s="20">
        <v>12.54</v>
      </c>
    </row>
    <row r="4" spans="1:17" x14ac:dyDescent="0.25">
      <c r="A4" t="s">
        <v>87</v>
      </c>
      <c r="B4" t="s">
        <v>90</v>
      </c>
      <c r="C4" t="s">
        <v>22</v>
      </c>
      <c r="E4" s="4" t="s">
        <v>89</v>
      </c>
      <c r="F4" s="15">
        <v>55.11</v>
      </c>
      <c r="G4" s="16">
        <v>70.03</v>
      </c>
      <c r="H4" s="16">
        <v>80.760000000000005</v>
      </c>
      <c r="I4" s="10"/>
      <c r="K4" t="s">
        <v>105</v>
      </c>
      <c r="N4" s="4" t="s">
        <v>15</v>
      </c>
      <c r="O4" s="16">
        <v>17.64</v>
      </c>
      <c r="P4" s="20">
        <v>23.52</v>
      </c>
    </row>
    <row r="5" spans="1:17" x14ac:dyDescent="0.25">
      <c r="A5" t="s">
        <v>8</v>
      </c>
      <c r="B5" t="s">
        <v>13</v>
      </c>
      <c r="E5" s="4" t="s">
        <v>90</v>
      </c>
      <c r="F5" s="15">
        <v>87.65</v>
      </c>
      <c r="G5" s="16">
        <v>111.37</v>
      </c>
      <c r="H5" s="16">
        <v>128.43</v>
      </c>
      <c r="I5" s="10"/>
      <c r="N5" s="4" t="s">
        <v>16</v>
      </c>
      <c r="O5" s="16">
        <v>27.05</v>
      </c>
      <c r="P5" s="20">
        <v>36.06</v>
      </c>
    </row>
    <row r="6" spans="1:17" x14ac:dyDescent="0.25">
      <c r="E6" s="4" t="s">
        <v>13</v>
      </c>
      <c r="F6" s="17">
        <v>64.849999999999994</v>
      </c>
      <c r="G6" s="18">
        <v>82.41</v>
      </c>
      <c r="H6" s="18">
        <v>95.02</v>
      </c>
      <c r="I6" s="11"/>
      <c r="N6" s="4" t="s">
        <v>13</v>
      </c>
      <c r="O6" s="16">
        <v>18.809999999999999</v>
      </c>
      <c r="P6" s="20">
        <v>25.08</v>
      </c>
    </row>
    <row r="7" spans="1:17" x14ac:dyDescent="0.25">
      <c r="A7" t="s">
        <v>10</v>
      </c>
      <c r="B7" t="s">
        <v>10</v>
      </c>
      <c r="C7" t="s">
        <v>10</v>
      </c>
      <c r="F7" s="5" t="s">
        <v>17</v>
      </c>
      <c r="G7" s="6"/>
      <c r="H7" s="6"/>
      <c r="I7" s="7"/>
      <c r="K7" t="s">
        <v>10</v>
      </c>
    </row>
    <row r="8" spans="1:17" x14ac:dyDescent="0.25">
      <c r="A8" t="str">
        <f>Feuil1!D4</f>
        <v>Protection de base (module A)</v>
      </c>
      <c r="B8" t="str">
        <f>Feuil1!K4</f>
        <v>Familial</v>
      </c>
      <c r="C8" t="str">
        <f>Feuil1!D6</f>
        <v>Adhérent de moins de 65 ans</v>
      </c>
      <c r="F8" s="8" t="s">
        <v>5</v>
      </c>
      <c r="G8" s="9" t="s">
        <v>6</v>
      </c>
      <c r="H8" s="9" t="s">
        <v>7</v>
      </c>
      <c r="I8" s="10"/>
      <c r="K8" t="str">
        <f>Feuil1!D9</f>
        <v>Aucune option</v>
      </c>
    </row>
    <row r="9" spans="1:17" x14ac:dyDescent="0.25">
      <c r="E9" s="4" t="s">
        <v>88</v>
      </c>
      <c r="F9" s="15">
        <v>13.69</v>
      </c>
      <c r="G9" s="16">
        <v>17.399999999999999</v>
      </c>
      <c r="H9" s="16">
        <v>20.059999999999999</v>
      </c>
      <c r="I9" s="10"/>
      <c r="K9" t="s">
        <v>35</v>
      </c>
      <c r="N9" s="4" t="s">
        <v>24</v>
      </c>
    </row>
    <row r="10" spans="1:17" x14ac:dyDescent="0.25">
      <c r="E10" s="4" t="s">
        <v>89</v>
      </c>
      <c r="F10" s="15">
        <v>36.36</v>
      </c>
      <c r="G10" s="16">
        <v>46.22</v>
      </c>
      <c r="H10" s="16">
        <v>53.28</v>
      </c>
      <c r="I10" s="10"/>
      <c r="K10" t="b">
        <f>IF(K8=K4,IF(A8=A4,TRUE,FALSE),TRUE)</f>
        <v>1</v>
      </c>
      <c r="N10" s="2">
        <f>IF(OR(K8=K2,K11=TRUE),0,IF(K8=K3,IF(B8=B2,O3,IF(B8=B3,O4,IF(B8=B4,O5,O6))),IF(AND(K8=K4,K10=TRUE),IF(B8=B2,P3,IF(B8=B3,P4,IF(B8=B4,P5,P6))),0)))</f>
        <v>0</v>
      </c>
    </row>
    <row r="11" spans="1:17" x14ac:dyDescent="0.25">
      <c r="E11" s="4" t="s">
        <v>90</v>
      </c>
      <c r="F11" s="15">
        <v>50.14</v>
      </c>
      <c r="G11" s="16">
        <v>63.71</v>
      </c>
      <c r="H11" s="16">
        <v>73.47</v>
      </c>
      <c r="I11" s="10"/>
      <c r="K11" t="b">
        <f>A8=A5</f>
        <v>0</v>
      </c>
    </row>
    <row r="12" spans="1:17" x14ac:dyDescent="0.25">
      <c r="E12" s="4" t="s">
        <v>13</v>
      </c>
      <c r="F12" s="17">
        <v>27.35</v>
      </c>
      <c r="G12" s="18">
        <v>34.76</v>
      </c>
      <c r="H12" s="18">
        <v>40.08</v>
      </c>
      <c r="I12" s="11"/>
    </row>
    <row r="13" spans="1:17" x14ac:dyDescent="0.25">
      <c r="F13" s="5" t="s">
        <v>18</v>
      </c>
      <c r="G13" s="6"/>
      <c r="H13" s="6"/>
      <c r="I13" s="7"/>
      <c r="K13" s="1" t="s">
        <v>41</v>
      </c>
      <c r="O13" t="s">
        <v>96</v>
      </c>
      <c r="Q13" t="s">
        <v>43</v>
      </c>
    </row>
    <row r="14" spans="1:17" x14ac:dyDescent="0.25">
      <c r="F14" s="8" t="s">
        <v>5</v>
      </c>
      <c r="G14" s="9" t="s">
        <v>6</v>
      </c>
      <c r="H14" s="9" t="s">
        <v>7</v>
      </c>
      <c r="I14" s="10"/>
      <c r="K14" t="s">
        <v>38</v>
      </c>
      <c r="M14" t="s">
        <v>77</v>
      </c>
      <c r="O14" t="s">
        <v>156</v>
      </c>
      <c r="P14" s="21">
        <v>0.1052</v>
      </c>
      <c r="Q14" t="s">
        <v>109</v>
      </c>
    </row>
    <row r="15" spans="1:17" x14ac:dyDescent="0.25">
      <c r="A15" s="3">
        <f>F9+F15</f>
        <v>78.459999999999994</v>
      </c>
      <c r="B15" s="3">
        <f t="shared" ref="B15:C18" si="0">G9+G15</f>
        <v>82.169999999999987</v>
      </c>
      <c r="C15" s="3">
        <f t="shared" si="0"/>
        <v>84.83</v>
      </c>
      <c r="E15" s="4" t="s">
        <v>88</v>
      </c>
      <c r="F15" s="15">
        <v>64.77</v>
      </c>
      <c r="G15" s="16">
        <v>64.77</v>
      </c>
      <c r="H15" s="16">
        <v>64.77</v>
      </c>
      <c r="I15" s="10"/>
      <c r="K15" t="s">
        <v>39</v>
      </c>
      <c r="M15" t="str">
        <f>IF(Q18=Q14,"Une fois le salaire annuel",IF(Q18=Q15,"La moitié du salaire annuel","10 000$"))</f>
        <v>Une fois le salaire annuel</v>
      </c>
      <c r="O15" t="s">
        <v>157</v>
      </c>
      <c r="P15" s="21">
        <v>0.13</v>
      </c>
      <c r="Q15" t="s">
        <v>110</v>
      </c>
    </row>
    <row r="16" spans="1:17" x14ac:dyDescent="0.25">
      <c r="A16" s="3">
        <f t="shared" ref="A16:A18" si="1">F10+F16</f>
        <v>101.13</v>
      </c>
      <c r="B16" s="3">
        <f t="shared" si="0"/>
        <v>110.99</v>
      </c>
      <c r="C16" s="3">
        <f t="shared" si="0"/>
        <v>118.05</v>
      </c>
      <c r="E16" s="4" t="s">
        <v>89</v>
      </c>
      <c r="F16" s="15">
        <v>64.77</v>
      </c>
      <c r="G16" s="16">
        <v>64.77</v>
      </c>
      <c r="H16" s="16">
        <v>64.77</v>
      </c>
      <c r="I16" s="10"/>
      <c r="K16" t="s">
        <v>10</v>
      </c>
      <c r="M16" t="str">
        <f>IF(Q18=Q14,"Deux fois le salaire annuel",IF(Q18=Q15,"Une fois le salaire annuel",""))</f>
        <v>Deux fois le salaire annuel</v>
      </c>
      <c r="O16" t="s">
        <v>202</v>
      </c>
      <c r="P16">
        <f>1000*ROUNDDOWN(Feuil1!O25/1000,0)+IF(VALUE(RIGHT(Feuil1!O25,3))&lt;250,0,IF(VALUE(RIGHT(Feuil1!O25,3))&lt;750,500,1000))</f>
        <v>60000</v>
      </c>
      <c r="Q16" t="s">
        <v>111</v>
      </c>
    </row>
    <row r="17" spans="1:17" x14ac:dyDescent="0.25">
      <c r="A17" s="3">
        <f t="shared" si="1"/>
        <v>179.68</v>
      </c>
      <c r="B17" s="3">
        <f t="shared" si="0"/>
        <v>193.25</v>
      </c>
      <c r="C17" s="3">
        <f t="shared" si="0"/>
        <v>203.01</v>
      </c>
      <c r="E17" s="4" t="s">
        <v>90</v>
      </c>
      <c r="F17" s="15">
        <v>129.54</v>
      </c>
      <c r="G17" s="16">
        <v>129.54</v>
      </c>
      <c r="H17" s="16">
        <v>129.54</v>
      </c>
      <c r="I17" s="10"/>
      <c r="K17" t="str">
        <f>Feuil1!D27</f>
        <v>Oui</v>
      </c>
      <c r="M17" t="s">
        <v>75</v>
      </c>
      <c r="O17" t="s">
        <v>76</v>
      </c>
      <c r="P17">
        <f>IF(K17=K14,IF(M18="Une fois le salaire annuel",MAX(35000,P16),IF(M18="Deux fois le salaire annuel",MAX(70000,2*P16),IF(M18="La moitié du salaire annuel",MAX(17500,0.5*P16),IF(M18="10 000$",10000,)))),0)</f>
        <v>120000</v>
      </c>
      <c r="Q17" t="s">
        <v>10</v>
      </c>
    </row>
    <row r="18" spans="1:17" x14ac:dyDescent="0.25">
      <c r="A18" s="3">
        <f t="shared" si="1"/>
        <v>156.88999999999999</v>
      </c>
      <c r="B18" s="3">
        <f t="shared" si="0"/>
        <v>164.29999999999998</v>
      </c>
      <c r="C18" s="3">
        <f t="shared" si="0"/>
        <v>169.62</v>
      </c>
      <c r="E18" s="4" t="s">
        <v>13</v>
      </c>
      <c r="F18" s="17">
        <v>129.54</v>
      </c>
      <c r="G18" s="18">
        <v>129.54</v>
      </c>
      <c r="H18" s="18">
        <v>129.54</v>
      </c>
      <c r="I18" s="11"/>
      <c r="K18" t="s">
        <v>40</v>
      </c>
      <c r="M18" t="str">
        <f>Feuil1!O23</f>
        <v>Deux fois le salaire annuel</v>
      </c>
      <c r="O18" t="s">
        <v>98</v>
      </c>
      <c r="Q18" t="str">
        <f>Feuil1!B29</f>
        <v>Moins de 65 ans</v>
      </c>
    </row>
    <row r="19" spans="1:17" x14ac:dyDescent="0.25">
      <c r="K19">
        <f>IF(K17=K14,P14,0)</f>
        <v>0.1052</v>
      </c>
    </row>
    <row r="20" spans="1:17" x14ac:dyDescent="0.25">
      <c r="E20" s="12" t="s">
        <v>24</v>
      </c>
      <c r="K20" t="s">
        <v>159</v>
      </c>
      <c r="L20" s="2">
        <f>IF(K17=K15,0,ROUND(P14*P17/1000,2)+ROUND(P15*25000/1000,2))</f>
        <v>15.87</v>
      </c>
    </row>
    <row r="21" spans="1:17" x14ac:dyDescent="0.25">
      <c r="E21" s="2">
        <f>IF(A8=A2,IF(B8=B2,IF(C8=C2,F3,IF(C8=C3,F9,F9+F15)),IF(B8=B3,IF(C8=C2,F4,IF(C8=C3,F10,F10+F16)),IF(B8=B4,IF(C8=C2,F5,IF(C8=C3,F11,F11+F17)),IF(C8=C2,F6,IF(C8=C3,F12,F12+F18))))),IF(A8=A3,IF(B8=B2,IF(C8=C2,G3,IF(C8=C3,G9,G9+G15)),IF(B8=B3,IF(C8=C2,G4,IF(C8=C3,G10,G10+G16)),IF(B8=B4,IF(C8=C2,G5,IF(C8=C3,G11,G11+G17)),IF(C8=C2,G6,IF(C8=C3,G12,G12+G18))))),IF(A8=A4,IF(B8=B2,IF(C8=C2,H3,IF(C8=C3,H9,H9+H15)),IF(B8=B3,IF(C8=C2,H4,IF(C8=C3,H10,H10+H16)),IF(B8=B4,IF(C8=C2,H5,IF(C8=C3,H11,H11+H17)),IF(C8=C2,H6,IF(C8=C3,H12,H12+H18))))),0)))</f>
        <v>87.65</v>
      </c>
    </row>
    <row r="22" spans="1:17" x14ac:dyDescent="0.25">
      <c r="E22" s="12" t="s">
        <v>11</v>
      </c>
    </row>
    <row r="23" spans="1:17" x14ac:dyDescent="0.25">
      <c r="E23" s="3">
        <f>26*E21</f>
        <v>2278.9</v>
      </c>
      <c r="K23" s="1" t="s">
        <v>68</v>
      </c>
      <c r="O23" t="s">
        <v>96</v>
      </c>
    </row>
    <row r="24" spans="1:17" x14ac:dyDescent="0.25">
      <c r="K24" t="s">
        <v>38</v>
      </c>
      <c r="O24" s="21">
        <v>0.84</v>
      </c>
    </row>
    <row r="25" spans="1:17" ht="15.75" thickBot="1" x14ac:dyDescent="0.3">
      <c r="A25" s="1" t="s">
        <v>1</v>
      </c>
      <c r="E25" t="s">
        <v>28</v>
      </c>
      <c r="F25" t="s">
        <v>29</v>
      </c>
      <c r="H25" s="1" t="s">
        <v>2</v>
      </c>
      <c r="K25" t="s">
        <v>39</v>
      </c>
    </row>
    <row r="26" spans="1:17" ht="15.75" thickBot="1" x14ac:dyDescent="0.3">
      <c r="A26" s="147" t="s">
        <v>160</v>
      </c>
      <c r="E26" t="str">
        <f>Feuil1!B15</f>
        <v>Aucun de ceux-ci</v>
      </c>
      <c r="F26">
        <f>IF(E26="Syndicat des enseignantes et enseignants du Collège Lasalle - CSN",E29,IF(E26="Syndicat des chargé-es de cours de l'éducation aux adultes de l'Université Concordia",E30,IF(E26="Aucun de ceux-ci",0,E31)))</f>
        <v>0</v>
      </c>
      <c r="H26" t="s">
        <v>37</v>
      </c>
      <c r="J26" t="s">
        <v>96</v>
      </c>
      <c r="K26" t="s">
        <v>42</v>
      </c>
    </row>
    <row r="27" spans="1:17" ht="15.75" thickBot="1" x14ac:dyDescent="0.3">
      <c r="A27" s="149" t="s">
        <v>161</v>
      </c>
      <c r="H27" t="s">
        <v>38</v>
      </c>
      <c r="J27" s="21">
        <v>0.44800000000000001</v>
      </c>
      <c r="K27" t="str">
        <f>Feuil1!F33</f>
        <v>Oui</v>
      </c>
    </row>
    <row r="28" spans="1:17" ht="15.75" thickBot="1" x14ac:dyDescent="0.3">
      <c r="A28" s="149" t="s">
        <v>162</v>
      </c>
      <c r="C28" s="229" t="s">
        <v>93</v>
      </c>
      <c r="D28" s="229"/>
      <c r="E28" s="229"/>
      <c r="H28" t="s">
        <v>39</v>
      </c>
      <c r="K28" t="s">
        <v>24</v>
      </c>
    </row>
    <row r="29" spans="1:17" ht="15.75" thickBot="1" x14ac:dyDescent="0.3">
      <c r="A29" s="149" t="s">
        <v>163</v>
      </c>
      <c r="D29" s="4" t="s">
        <v>94</v>
      </c>
      <c r="E29" s="19">
        <v>0.81699999999999995</v>
      </c>
      <c r="H29" t="s">
        <v>10</v>
      </c>
      <c r="K29">
        <f>IF(AND(K27=K24,K17=K14),O24,0)</f>
        <v>0.84</v>
      </c>
    </row>
    <row r="30" spans="1:17" ht="15.75" thickBot="1" x14ac:dyDescent="0.3">
      <c r="A30" s="149" t="s">
        <v>164</v>
      </c>
      <c r="D30" s="4" t="s">
        <v>187</v>
      </c>
      <c r="E30" s="19">
        <v>0.33</v>
      </c>
      <c r="H30" t="str">
        <f>Feuil1!F19</f>
        <v>Oui</v>
      </c>
    </row>
    <row r="31" spans="1:17" ht="15.75" thickBot="1" x14ac:dyDescent="0.3">
      <c r="A31" s="148" t="s">
        <v>165</v>
      </c>
      <c r="D31" s="4" t="s">
        <v>95</v>
      </c>
      <c r="E31" s="19">
        <v>0.63500000000000001</v>
      </c>
      <c r="H31" t="s">
        <v>40</v>
      </c>
      <c r="K31" t="s">
        <v>176</v>
      </c>
    </row>
    <row r="32" spans="1:17" ht="15.75" thickBot="1" x14ac:dyDescent="0.3">
      <c r="A32" s="149" t="s">
        <v>166</v>
      </c>
      <c r="H32">
        <f>IF(H30="Oui",J27,0)</f>
        <v>0.44800000000000001</v>
      </c>
      <c r="K32" t="s">
        <v>175</v>
      </c>
    </row>
    <row r="33" spans="1:22" ht="15.75" thickBot="1" x14ac:dyDescent="0.3">
      <c r="A33" s="149" t="s">
        <v>167</v>
      </c>
      <c r="K33" t="s">
        <v>174</v>
      </c>
    </row>
    <row r="34" spans="1:22" ht="15.75" thickBot="1" x14ac:dyDescent="0.3">
      <c r="A34" s="149" t="s">
        <v>168</v>
      </c>
      <c r="K34" s="1" t="s">
        <v>45</v>
      </c>
      <c r="O34" t="s">
        <v>52</v>
      </c>
      <c r="U34" t="s">
        <v>66</v>
      </c>
    </row>
    <row r="35" spans="1:22" ht="15.75" thickBot="1" x14ac:dyDescent="0.3">
      <c r="A35" s="148" t="s">
        <v>169</v>
      </c>
      <c r="K35" s="1" t="s">
        <v>71</v>
      </c>
      <c r="M35" s="1" t="s">
        <v>72</v>
      </c>
      <c r="P35" s="229" t="s">
        <v>47</v>
      </c>
      <c r="Q35" s="229"/>
      <c r="R35" s="229" t="s">
        <v>48</v>
      </c>
      <c r="S35" s="229"/>
      <c r="U35" s="14">
        <v>0</v>
      </c>
      <c r="V35" s="14">
        <v>0</v>
      </c>
    </row>
    <row r="36" spans="1:22" ht="15.75" thickBot="1" x14ac:dyDescent="0.3">
      <c r="A36" s="149" t="s">
        <v>170</v>
      </c>
      <c r="K36" t="s">
        <v>38</v>
      </c>
      <c r="M36" t="s">
        <v>38</v>
      </c>
      <c r="O36" t="s">
        <v>53</v>
      </c>
      <c r="P36" t="s">
        <v>50</v>
      </c>
      <c r="Q36" t="s">
        <v>51</v>
      </c>
      <c r="R36" t="s">
        <v>54</v>
      </c>
      <c r="S36" t="s">
        <v>55</v>
      </c>
      <c r="U36" s="14">
        <v>20000</v>
      </c>
      <c r="V36" s="14">
        <v>25000</v>
      </c>
    </row>
    <row r="37" spans="1:22" ht="15.75" thickBot="1" x14ac:dyDescent="0.3">
      <c r="A37" s="149" t="s">
        <v>171</v>
      </c>
      <c r="K37" t="s">
        <v>39</v>
      </c>
      <c r="M37" t="s">
        <v>39</v>
      </c>
      <c r="O37" t="s">
        <v>56</v>
      </c>
      <c r="P37" s="21">
        <v>2.3E-2</v>
      </c>
      <c r="Q37" s="21">
        <v>3.3000000000000002E-2</v>
      </c>
      <c r="R37" s="21">
        <v>1.2999999999999999E-2</v>
      </c>
      <c r="S37" s="21">
        <v>1.7000000000000001E-2</v>
      </c>
      <c r="U37" s="14">
        <f>U36+20000</f>
        <v>40000</v>
      </c>
      <c r="V37" s="14">
        <f>V36+25000</f>
        <v>50000</v>
      </c>
    </row>
    <row r="38" spans="1:22" x14ac:dyDescent="0.25">
      <c r="A38" s="157" t="s">
        <v>181</v>
      </c>
      <c r="K38" t="s">
        <v>10</v>
      </c>
      <c r="M38" t="s">
        <v>10</v>
      </c>
      <c r="O38" t="s">
        <v>57</v>
      </c>
      <c r="P38" s="21">
        <v>2.3E-2</v>
      </c>
      <c r="Q38" s="21">
        <v>3.3000000000000002E-2</v>
      </c>
      <c r="R38" s="21">
        <v>1.2999999999999999E-2</v>
      </c>
      <c r="S38" s="21">
        <v>1.7000000000000001E-2</v>
      </c>
      <c r="U38" s="14">
        <f t="shared" ref="U38:U42" si="2">U37+20000</f>
        <v>60000</v>
      </c>
      <c r="V38" s="14">
        <f t="shared" ref="V38:V45" si="3">V37+25000</f>
        <v>75000</v>
      </c>
    </row>
    <row r="39" spans="1:22" x14ac:dyDescent="0.25">
      <c r="A39" s="157" t="s">
        <v>182</v>
      </c>
      <c r="K39" t="str">
        <f>Feuil1!D38</f>
        <v>Oui</v>
      </c>
      <c r="M39" t="str">
        <f>Feuil1!D46</f>
        <v>Oui</v>
      </c>
      <c r="O39" t="s">
        <v>58</v>
      </c>
      <c r="P39" s="21">
        <v>2.3E-2</v>
      </c>
      <c r="Q39" s="21">
        <v>3.5999999999999997E-2</v>
      </c>
      <c r="R39" s="21">
        <v>1.2999999999999999E-2</v>
      </c>
      <c r="S39" s="21">
        <v>1.7000000000000001E-2</v>
      </c>
      <c r="U39" s="14">
        <f t="shared" si="2"/>
        <v>80000</v>
      </c>
      <c r="V39" s="14">
        <f t="shared" si="3"/>
        <v>100000</v>
      </c>
    </row>
    <row r="40" spans="1:22" x14ac:dyDescent="0.25">
      <c r="A40" t="s">
        <v>36</v>
      </c>
      <c r="O40" t="s">
        <v>59</v>
      </c>
      <c r="P40" s="21">
        <v>3.1E-2</v>
      </c>
      <c r="Q40" s="21">
        <v>3.9E-2</v>
      </c>
      <c r="R40" s="21">
        <v>1.7000000000000001E-2</v>
      </c>
      <c r="S40" s="21">
        <v>0.02</v>
      </c>
      <c r="U40" s="14">
        <f t="shared" si="2"/>
        <v>100000</v>
      </c>
      <c r="V40" s="14">
        <f t="shared" si="3"/>
        <v>125000</v>
      </c>
    </row>
    <row r="41" spans="1:22" x14ac:dyDescent="0.25">
      <c r="K41" s="13" t="s">
        <v>46</v>
      </c>
      <c r="M41" s="13" t="s">
        <v>46</v>
      </c>
      <c r="O41" t="s">
        <v>60</v>
      </c>
      <c r="P41" s="21">
        <v>4.4999999999999998E-2</v>
      </c>
      <c r="Q41" s="21">
        <v>6.7000000000000004E-2</v>
      </c>
      <c r="R41" s="21">
        <v>2.3E-2</v>
      </c>
      <c r="S41" s="21">
        <v>3.4000000000000002E-2</v>
      </c>
      <c r="U41" s="14">
        <f t="shared" si="2"/>
        <v>120000</v>
      </c>
      <c r="V41" s="14">
        <f t="shared" si="3"/>
        <v>150000</v>
      </c>
    </row>
    <row r="42" spans="1:22" x14ac:dyDescent="0.25">
      <c r="K42" t="s">
        <v>47</v>
      </c>
      <c r="M42" t="s">
        <v>47</v>
      </c>
      <c r="O42" t="s">
        <v>61</v>
      </c>
      <c r="P42" s="21">
        <v>7.3999999999999996E-2</v>
      </c>
      <c r="Q42" s="21">
        <v>0.109</v>
      </c>
      <c r="R42" s="21">
        <v>3.4000000000000002E-2</v>
      </c>
      <c r="S42" s="21">
        <v>5.0999999999999997E-2</v>
      </c>
      <c r="U42" s="14">
        <f t="shared" si="2"/>
        <v>140000</v>
      </c>
      <c r="V42" s="14">
        <f t="shared" si="3"/>
        <v>175000</v>
      </c>
    </row>
    <row r="43" spans="1:22" x14ac:dyDescent="0.25">
      <c r="K43" t="s">
        <v>48</v>
      </c>
      <c r="M43" t="s">
        <v>48</v>
      </c>
      <c r="O43" t="s">
        <v>62</v>
      </c>
      <c r="P43" s="21">
        <v>0.115</v>
      </c>
      <c r="Q43" s="21">
        <v>0.17100000000000001</v>
      </c>
      <c r="R43" s="21">
        <v>6.5000000000000002E-2</v>
      </c>
      <c r="S43" s="21">
        <v>7.6999999999999999E-2</v>
      </c>
      <c r="U43" t="s">
        <v>73</v>
      </c>
      <c r="V43" s="14">
        <f t="shared" si="3"/>
        <v>200000</v>
      </c>
    </row>
    <row r="44" spans="1:22" x14ac:dyDescent="0.25">
      <c r="K44" t="s">
        <v>10</v>
      </c>
      <c r="M44" t="s">
        <v>10</v>
      </c>
      <c r="O44" t="s">
        <v>63</v>
      </c>
      <c r="P44" s="21">
        <v>0.182</v>
      </c>
      <c r="Q44" s="21">
        <v>0.28199999999999997</v>
      </c>
      <c r="R44" s="21">
        <v>9.8000000000000004E-2</v>
      </c>
      <c r="S44" s="21">
        <v>0.154</v>
      </c>
      <c r="U44" s="2">
        <f>Feuil1!M38</f>
        <v>0</v>
      </c>
      <c r="V44" s="14">
        <f t="shared" si="3"/>
        <v>225000</v>
      </c>
    </row>
    <row r="45" spans="1:22" x14ac:dyDescent="0.25">
      <c r="K45" t="str">
        <f>Feuil1!F38</f>
        <v>Homme</v>
      </c>
      <c r="M45" t="str">
        <f>Feuil1!F46</f>
        <v>Femme</v>
      </c>
      <c r="O45" t="s">
        <v>64</v>
      </c>
      <c r="P45" s="21">
        <v>0.307</v>
      </c>
      <c r="Q45" s="21">
        <v>0.44400000000000001</v>
      </c>
      <c r="R45" s="21">
        <v>0.151</v>
      </c>
      <c r="S45" s="21">
        <v>0.22700000000000001</v>
      </c>
      <c r="U45" t="s">
        <v>74</v>
      </c>
      <c r="V45" s="14">
        <f t="shared" si="3"/>
        <v>250000</v>
      </c>
    </row>
    <row r="46" spans="1:22" x14ac:dyDescent="0.25">
      <c r="O46" t="s">
        <v>65</v>
      </c>
      <c r="P46" s="21">
        <v>0.42399999999999999</v>
      </c>
      <c r="Q46" s="21">
        <v>0.69199999999999995</v>
      </c>
      <c r="R46" s="21">
        <v>0.23699999999999999</v>
      </c>
      <c r="S46" s="21">
        <v>0.35599999999999998</v>
      </c>
      <c r="U46" s="2">
        <f>Feuil1!M46</f>
        <v>0</v>
      </c>
      <c r="V46" t="s">
        <v>73</v>
      </c>
    </row>
    <row r="47" spans="1:22" x14ac:dyDescent="0.25">
      <c r="K47" t="s">
        <v>49</v>
      </c>
      <c r="O47" t="s">
        <v>78</v>
      </c>
      <c r="V47" s="2">
        <f>Feuil1!M41</f>
        <v>250000</v>
      </c>
    </row>
    <row r="48" spans="1:22" x14ac:dyDescent="0.25">
      <c r="K48" t="str">
        <f>IF(K45=K42,"Non fumeur","Non fumeuse")</f>
        <v>Non fumeur</v>
      </c>
      <c r="M48" t="str">
        <f>IF(M45=M42,"Non fumeur","Non fumeuse")</f>
        <v>Non fumeuse</v>
      </c>
      <c r="O48" t="str">
        <f>Feuil1!C40</f>
        <v>30 à 34 ans</v>
      </c>
      <c r="Q48" t="s">
        <v>80</v>
      </c>
      <c r="V48" t="s">
        <v>74</v>
      </c>
    </row>
    <row r="49" spans="11:22" x14ac:dyDescent="0.25">
      <c r="K49" t="str">
        <f>IF(K45=K42,"Fumeur","Fumeuse")</f>
        <v>Fumeur</v>
      </c>
      <c r="M49" t="str">
        <f>IF(M45=M42,"Fumeur","Fumeuse")</f>
        <v>Fumeuse</v>
      </c>
      <c r="O49" t="s">
        <v>79</v>
      </c>
      <c r="Q49">
        <f>IF(AND(K39=K36,K17=K14,IF(Q18=Q14,M18="Deux fois le salaire annuel",IF(Q18=Q15,M18="Une fois le salaire annuel",FALSE))),VLOOKUP(O48,O37:S46,L51,FALSE),0)</f>
        <v>2.3E-2</v>
      </c>
      <c r="V49" s="2">
        <f>Feuil1!M49</f>
        <v>250000</v>
      </c>
    </row>
    <row r="50" spans="11:22" x14ac:dyDescent="0.25">
      <c r="K50" t="s">
        <v>10</v>
      </c>
      <c r="M50" t="s">
        <v>10</v>
      </c>
      <c r="O50" t="str">
        <f>Feuil1!C48</f>
        <v>30 à 34 ans</v>
      </c>
      <c r="Q50" t="s">
        <v>81</v>
      </c>
    </row>
    <row r="51" spans="11:22" x14ac:dyDescent="0.25">
      <c r="K51" t="str">
        <f>Feuil1!F40</f>
        <v>Non fumeur</v>
      </c>
      <c r="L51">
        <f>IF(AND(K45=K42,OR(K51="Non fumeur",K51="Non fumeuse")),2,IF(AND(K45=K42,OR(K51="Fumeur",K51="Fumeuse")),3,IF(AND(K45=K43,OR(K51="Non fumeur",K51="Non fumeuse")),4,5)))</f>
        <v>2</v>
      </c>
      <c r="M51" t="str">
        <f>Feuil1!F48</f>
        <v>Non fumeuse</v>
      </c>
      <c r="N51">
        <f>IF(AND(M45=M42,OR(M51="Non fumeur",M51="Non fumeuse")),2,IF(AND(M45=M42,OR(M51="Fumeur",M51="Fumeuse")),3,IF(AND(M45=M43,OR(M51="Non fumeur",M51="Non fumeuse")),4,5)))</f>
        <v>4</v>
      </c>
      <c r="Q51">
        <f>IF(M39=M36,VLOOKUP(O50,O37:S46,N51,FALSE),0)</f>
        <v>1.2999999999999999E-2</v>
      </c>
    </row>
    <row r="53" spans="11:22" x14ac:dyDescent="0.25">
      <c r="K53" t="s">
        <v>184</v>
      </c>
    </row>
    <row r="54" spans="11:22" x14ac:dyDescent="0.25">
      <c r="K54" t="s">
        <v>185</v>
      </c>
    </row>
  </sheetData>
  <mergeCells count="3">
    <mergeCell ref="P35:Q35"/>
    <mergeCell ref="R35:S35"/>
    <mergeCell ref="C28:E2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AA60"/>
  <sheetViews>
    <sheetView workbookViewId="0">
      <selection activeCell="E7" sqref="E7"/>
    </sheetView>
  </sheetViews>
  <sheetFormatPr baseColWidth="10" defaultRowHeight="15" x14ac:dyDescent="0.25"/>
  <cols>
    <col min="1" max="1" width="26.140625" customWidth="1"/>
    <col min="3" max="3" width="13" customWidth="1"/>
    <col min="5" max="5" width="12.85546875" customWidth="1"/>
    <col min="6" max="7" width="12.28515625" customWidth="1"/>
    <col min="8" max="8" width="3.42578125" customWidth="1"/>
    <col min="9" max="9" width="12.42578125" customWidth="1"/>
    <col min="10" max="10" width="12.140625" customWidth="1"/>
    <col min="11" max="11" width="12.42578125" customWidth="1"/>
    <col min="12" max="12" width="5.85546875" customWidth="1"/>
    <col min="13" max="13" width="12.28515625" customWidth="1"/>
    <col min="15" max="15" width="12.42578125" customWidth="1"/>
  </cols>
  <sheetData>
    <row r="1" spans="1:27" x14ac:dyDescent="0.25">
      <c r="E1" t="s">
        <v>119</v>
      </c>
      <c r="I1" t="s">
        <v>122</v>
      </c>
      <c r="M1" t="s">
        <v>139</v>
      </c>
      <c r="Q1" t="s">
        <v>140</v>
      </c>
      <c r="V1" t="s">
        <v>152</v>
      </c>
      <c r="Y1" t="s">
        <v>151</v>
      </c>
    </row>
    <row r="2" spans="1:27" ht="15.75" thickBot="1" x14ac:dyDescent="0.3">
      <c r="A2" t="s">
        <v>109</v>
      </c>
      <c r="B2" t="s">
        <v>112</v>
      </c>
      <c r="C2" t="s">
        <v>141</v>
      </c>
      <c r="D2" t="s">
        <v>142</v>
      </c>
      <c r="E2" t="s">
        <v>5</v>
      </c>
      <c r="F2" t="s">
        <v>6</v>
      </c>
      <c r="G2" t="s">
        <v>7</v>
      </c>
      <c r="I2" t="s">
        <v>5</v>
      </c>
      <c r="J2" t="s">
        <v>6</v>
      </c>
      <c r="K2" t="s">
        <v>7</v>
      </c>
      <c r="M2" t="s">
        <v>5</v>
      </c>
      <c r="N2" t="s">
        <v>6</v>
      </c>
      <c r="O2" t="s">
        <v>7</v>
      </c>
      <c r="Q2" t="s">
        <v>5</v>
      </c>
      <c r="R2" t="s">
        <v>6</v>
      </c>
      <c r="S2" t="s">
        <v>7</v>
      </c>
      <c r="U2" t="s">
        <v>153</v>
      </c>
      <c r="Y2" t="s">
        <v>5</v>
      </c>
      <c r="Z2" t="s">
        <v>6</v>
      </c>
      <c r="AA2" t="s">
        <v>7</v>
      </c>
    </row>
    <row r="3" spans="1:27" x14ac:dyDescent="0.25">
      <c r="A3" s="25" t="s">
        <v>113</v>
      </c>
      <c r="B3" s="33">
        <v>38.58</v>
      </c>
      <c r="C3" s="27">
        <f>ROUND(B3*1.09,2)</f>
        <v>42.05</v>
      </c>
      <c r="D3" s="14">
        <f>ROUND(1.055*B3,2)</f>
        <v>40.700000000000003</v>
      </c>
      <c r="E3">
        <v>35</v>
      </c>
      <c r="F3">
        <v>45</v>
      </c>
      <c r="G3">
        <v>52</v>
      </c>
      <c r="I3" s="14">
        <f>(E3/1.09)</f>
        <v>32.110091743119263</v>
      </c>
      <c r="J3" s="14">
        <f t="shared" ref="J3:K6" si="0">(F3/1.09)</f>
        <v>41.284403669724767</v>
      </c>
      <c r="K3" s="14">
        <f t="shared" si="0"/>
        <v>47.706422018348619</v>
      </c>
      <c r="M3" s="44">
        <f>(E3-$C3)/$C3</f>
        <v>-0.16765755053507722</v>
      </c>
      <c r="N3" s="44">
        <f t="shared" ref="N3:O6" si="1">(F3-$C3)/$C3</f>
        <v>7.0154577883472125E-2</v>
      </c>
      <c r="O3" s="44">
        <f t="shared" si="1"/>
        <v>0.23662306777645667</v>
      </c>
      <c r="Q3" s="44">
        <f>(I3-$D3)/$D3</f>
        <v>-0.2110542569258167</v>
      </c>
      <c r="R3" s="44">
        <f t="shared" ref="R3:S3" si="2">(J3-$D3)/$D3</f>
        <v>1.4358812523949988E-2</v>
      </c>
      <c r="S3" s="44">
        <f t="shared" si="2"/>
        <v>0.17214796113878661</v>
      </c>
      <c r="U3" t="s">
        <v>88</v>
      </c>
      <c r="V3" s="2">
        <f>ROUND(1.055*B3,2)</f>
        <v>40.700000000000003</v>
      </c>
      <c r="Y3">
        <f>ROUND($V3*(1+AVERAGE(Q$7,Q$14)),2)</f>
        <v>32.54</v>
      </c>
      <c r="Z3">
        <f t="shared" ref="Z3:AA3" si="3">ROUND($V3*(1+AVERAGE(R$7,R$14)),2)</f>
        <v>41.15</v>
      </c>
      <c r="AA3">
        <f t="shared" si="3"/>
        <v>47.64</v>
      </c>
    </row>
    <row r="4" spans="1:27" x14ac:dyDescent="0.25">
      <c r="A4" s="28" t="s">
        <v>114</v>
      </c>
      <c r="B4" s="34">
        <v>65.55</v>
      </c>
      <c r="C4" s="29">
        <f t="shared" ref="C4" si="4">ROUND(B4*1.09,2)</f>
        <v>71.45</v>
      </c>
      <c r="D4" s="14">
        <f t="shared" ref="D4:D6" si="5">ROUND(1.055*B4,2)</f>
        <v>69.16</v>
      </c>
      <c r="E4">
        <v>60</v>
      </c>
      <c r="F4">
        <v>76</v>
      </c>
      <c r="G4">
        <v>88</v>
      </c>
      <c r="I4" s="14">
        <f t="shared" ref="I4:I6" si="6">(E4/1.09)</f>
        <v>55.045871559633021</v>
      </c>
      <c r="J4" s="14">
        <f t="shared" si="0"/>
        <v>69.724770642201833</v>
      </c>
      <c r="K4" s="14">
        <f t="shared" si="0"/>
        <v>80.733944954128432</v>
      </c>
      <c r="M4" s="44">
        <f t="shared" ref="M4:M6" si="7">(E4-$C4)/$C4</f>
        <v>-0.16025192442267322</v>
      </c>
      <c r="N4" s="44">
        <f t="shared" si="1"/>
        <v>6.3680895731280579E-2</v>
      </c>
      <c r="O4" s="44">
        <f t="shared" si="1"/>
        <v>0.23163051084674594</v>
      </c>
      <c r="Q4" s="44">
        <f t="shared" ref="Q4:Q6" si="8">(I4-$D4)/$D4</f>
        <v>-0.20407935859408582</v>
      </c>
      <c r="R4" s="44">
        <f t="shared" ref="R4:R6" si="9">(J4-$D4)/$D4</f>
        <v>8.1661457808246962E-3</v>
      </c>
      <c r="S4" s="44">
        <f t="shared" ref="S4:S6" si="10">(K4-$D4)/$D4</f>
        <v>0.16735027406200748</v>
      </c>
      <c r="U4" t="s">
        <v>89</v>
      </c>
      <c r="V4" s="2">
        <f t="shared" ref="V4" si="11">ROUND(1.055*B4,2)</f>
        <v>69.16</v>
      </c>
      <c r="Y4">
        <f t="shared" ref="Y4:Y6" si="12">ROUND($V4*(1+AVERAGE(Q$7,Q$14)),2)</f>
        <v>55.29</v>
      </c>
      <c r="Z4">
        <f t="shared" ref="Z4:Z6" si="13">ROUND($V4*(1+AVERAGE(R$7,R$14)),2)</f>
        <v>69.930000000000007</v>
      </c>
      <c r="AA4">
        <f t="shared" ref="AA4:AA6" si="14">ROUND($V4*(1+AVERAGE(S$7,S$14)),2)</f>
        <v>80.95</v>
      </c>
    </row>
    <row r="5" spans="1:27" x14ac:dyDescent="0.25">
      <c r="A5" s="28" t="s">
        <v>116</v>
      </c>
      <c r="B5" s="34">
        <v>77.13</v>
      </c>
      <c r="C5" s="29">
        <f>ROUND(B5*1.09,2)</f>
        <v>84.07</v>
      </c>
      <c r="D5" s="14">
        <f t="shared" si="5"/>
        <v>81.37</v>
      </c>
      <c r="E5">
        <v>71</v>
      </c>
      <c r="F5">
        <v>90</v>
      </c>
      <c r="G5">
        <v>104</v>
      </c>
      <c r="I5" s="14">
        <f t="shared" si="6"/>
        <v>65.137614678899084</v>
      </c>
      <c r="J5" s="14">
        <f t="shared" si="0"/>
        <v>82.568807339449535</v>
      </c>
      <c r="K5" s="14">
        <f t="shared" si="0"/>
        <v>95.412844036697237</v>
      </c>
      <c r="M5" s="44">
        <f t="shared" si="7"/>
        <v>-0.15546568335910543</v>
      </c>
      <c r="N5" s="44">
        <f t="shared" si="1"/>
        <v>7.0536457713810008E-2</v>
      </c>
      <c r="O5" s="44">
        <f t="shared" si="1"/>
        <v>0.23706435113595822</v>
      </c>
      <c r="Q5" s="44">
        <f t="shared" si="8"/>
        <v>-0.19948857467249503</v>
      </c>
      <c r="R5" s="44">
        <f t="shared" si="9"/>
        <v>1.4732792668668185E-2</v>
      </c>
      <c r="S5" s="44">
        <f t="shared" si="10"/>
        <v>0.17258011597268319</v>
      </c>
      <c r="U5" t="s">
        <v>90</v>
      </c>
      <c r="V5" s="2">
        <f>ROUND(1.055*B6,2)</f>
        <v>109.97</v>
      </c>
      <c r="Y5">
        <f t="shared" si="12"/>
        <v>87.91</v>
      </c>
      <c r="Z5">
        <f t="shared" si="13"/>
        <v>111.19</v>
      </c>
      <c r="AA5">
        <f t="shared" si="14"/>
        <v>128.72</v>
      </c>
    </row>
    <row r="6" spans="1:27" ht="15.75" thickBot="1" x14ac:dyDescent="0.3">
      <c r="A6" s="30" t="s">
        <v>115</v>
      </c>
      <c r="B6" s="35">
        <v>104.24</v>
      </c>
      <c r="C6" s="32">
        <f>ROUND(B6*1.09,2)</f>
        <v>113.62</v>
      </c>
      <c r="D6" s="14">
        <f t="shared" si="5"/>
        <v>109.97</v>
      </c>
      <c r="E6">
        <v>96</v>
      </c>
      <c r="F6">
        <v>121</v>
      </c>
      <c r="G6">
        <v>140</v>
      </c>
      <c r="I6" s="14">
        <f t="shared" si="6"/>
        <v>88.073394495412842</v>
      </c>
      <c r="J6" s="14">
        <f t="shared" si="0"/>
        <v>111.0091743119266</v>
      </c>
      <c r="K6" s="14">
        <f t="shared" si="0"/>
        <v>128.44036697247705</v>
      </c>
      <c r="M6" s="44">
        <f t="shared" si="7"/>
        <v>-0.1550783312797043</v>
      </c>
      <c r="N6" s="44">
        <f t="shared" si="1"/>
        <v>6.4953353282872689E-2</v>
      </c>
      <c r="O6" s="44">
        <f t="shared" si="1"/>
        <v>0.23217743355043122</v>
      </c>
      <c r="Q6" s="44">
        <f t="shared" si="8"/>
        <v>-0.19911435395641683</v>
      </c>
      <c r="R6" s="44">
        <f t="shared" si="9"/>
        <v>9.4496163674329461E-3</v>
      </c>
      <c r="S6" s="44">
        <f t="shared" si="10"/>
        <v>0.1679582338135587</v>
      </c>
      <c r="U6" t="s">
        <v>13</v>
      </c>
      <c r="V6" s="2">
        <f>ROUND(1.055*B5,2)</f>
        <v>81.37</v>
      </c>
      <c r="Y6">
        <f t="shared" si="12"/>
        <v>65.05</v>
      </c>
      <c r="Z6">
        <f t="shared" si="13"/>
        <v>82.27</v>
      </c>
      <c r="AA6">
        <f t="shared" si="14"/>
        <v>95.24</v>
      </c>
    </row>
    <row r="7" spans="1:27" x14ac:dyDescent="0.25">
      <c r="L7" t="s">
        <v>124</v>
      </c>
      <c r="M7" s="39">
        <f>AVERAGE(M3:M6)</f>
        <v>-0.15961337239914006</v>
      </c>
      <c r="N7" s="39">
        <f t="shared" ref="N7:O7" si="15">AVERAGE(N3:N6)</f>
        <v>6.733132115285885E-2</v>
      </c>
      <c r="O7" s="39">
        <f t="shared" si="15"/>
        <v>0.23437384082739801</v>
      </c>
      <c r="Q7" s="45">
        <f>AVERAGE(Q3:Q6)</f>
        <v>-0.20343413603720362</v>
      </c>
      <c r="R7" s="45">
        <f t="shared" ref="R7:S7" si="16">AVERAGE(R3:R6)</f>
        <v>1.1676841835218953E-2</v>
      </c>
      <c r="S7" s="45">
        <f t="shared" si="16"/>
        <v>0.17000914624675897</v>
      </c>
    </row>
    <row r="8" spans="1:27" x14ac:dyDescent="0.25">
      <c r="M8" s="39"/>
      <c r="N8" s="39"/>
      <c r="O8" s="39"/>
      <c r="U8" t="s">
        <v>154</v>
      </c>
    </row>
    <row r="9" spans="1:27" ht="15.75" thickBot="1" x14ac:dyDescent="0.3">
      <c r="A9" s="37" t="s">
        <v>120</v>
      </c>
      <c r="E9" t="s">
        <v>5</v>
      </c>
      <c r="F9" t="s">
        <v>6</v>
      </c>
      <c r="G9" t="s">
        <v>7</v>
      </c>
      <c r="I9" t="s">
        <v>5</v>
      </c>
      <c r="J9" t="s">
        <v>6</v>
      </c>
      <c r="K9" t="s">
        <v>7</v>
      </c>
      <c r="M9" s="39" t="s">
        <v>5</v>
      </c>
      <c r="N9" s="39" t="s">
        <v>6</v>
      </c>
      <c r="O9" s="39" t="s">
        <v>7</v>
      </c>
      <c r="Q9" s="39" t="s">
        <v>5</v>
      </c>
      <c r="R9" s="39" t="s">
        <v>6</v>
      </c>
      <c r="S9" s="39" t="s">
        <v>7</v>
      </c>
      <c r="Y9" t="s">
        <v>5</v>
      </c>
      <c r="Z9" t="s">
        <v>6</v>
      </c>
      <c r="AA9" t="s">
        <v>7</v>
      </c>
    </row>
    <row r="10" spans="1:27" x14ac:dyDescent="0.25">
      <c r="A10" s="25" t="s">
        <v>113</v>
      </c>
      <c r="B10" s="26">
        <v>16.28</v>
      </c>
      <c r="C10" s="27">
        <f t="shared" ref="C10:C13" si="17">ROUND(B10*1.09,2)</f>
        <v>17.75</v>
      </c>
      <c r="D10" s="14">
        <f t="shared" ref="D10:D13" si="18">ROUND(1.055*B10,2)</f>
        <v>17.18</v>
      </c>
      <c r="E10">
        <f>ROUND($C10*(1+M3),0)</f>
        <v>15</v>
      </c>
      <c r="F10">
        <f t="shared" ref="F10:G10" si="19">ROUND($C10*(1+N3),0)</f>
        <v>19</v>
      </c>
      <c r="G10">
        <f t="shared" si="19"/>
        <v>22</v>
      </c>
      <c r="I10" s="14">
        <f t="shared" ref="I10:I13" si="20">(E10/1.09)</f>
        <v>13.761467889908255</v>
      </c>
      <c r="J10" s="14">
        <f t="shared" ref="J10:J13" si="21">(F10/1.09)</f>
        <v>17.431192660550458</v>
      </c>
      <c r="K10" s="14">
        <f t="shared" ref="K10:K13" si="22">(G10/1.09)</f>
        <v>20.183486238532108</v>
      </c>
      <c r="M10" s="38">
        <f>(E10-$C10)/$C10</f>
        <v>-0.15492957746478872</v>
      </c>
      <c r="N10" s="38">
        <f t="shared" ref="N10:O13" si="23">(F10-$C10)/$C10</f>
        <v>7.0422535211267609E-2</v>
      </c>
      <c r="O10" s="38">
        <f t="shared" si="23"/>
        <v>0.23943661971830985</v>
      </c>
      <c r="Q10" s="44">
        <f>(I10-$D10)/$D10</f>
        <v>-0.19898324272943799</v>
      </c>
      <c r="R10" s="44">
        <f t="shared" ref="R10:R13" si="24">(J10-$D10)/$D10</f>
        <v>1.4621225876045309E-2</v>
      </c>
      <c r="S10" s="44">
        <f t="shared" ref="S10:S13" si="25">(K10-$D10)/$D10</f>
        <v>0.17482457733015766</v>
      </c>
      <c r="U10" t="s">
        <v>88</v>
      </c>
      <c r="V10" s="2">
        <f>ROUND(1.055*B10,2)</f>
        <v>17.18</v>
      </c>
      <c r="Y10">
        <f>ROUND($V10*(1+AVERAGE(Q$7,Q$14)),2)</f>
        <v>13.73</v>
      </c>
      <c r="Z10">
        <f t="shared" ref="Z10:Z13" si="26">ROUND($V10*(1+AVERAGE(R$7,R$14)),2)</f>
        <v>17.37</v>
      </c>
      <c r="AA10">
        <f t="shared" ref="AA10:AA13" si="27">ROUND($V10*(1+AVERAGE(S$7,S$14)),2)</f>
        <v>20.11</v>
      </c>
    </row>
    <row r="11" spans="1:27" x14ac:dyDescent="0.25">
      <c r="A11" s="28" t="s">
        <v>121</v>
      </c>
      <c r="B11" s="24">
        <v>43.25</v>
      </c>
      <c r="C11" s="29">
        <f t="shared" si="17"/>
        <v>47.14</v>
      </c>
      <c r="D11" s="14">
        <f t="shared" si="18"/>
        <v>45.63</v>
      </c>
      <c r="E11">
        <f t="shared" ref="E11:E13" si="28">ROUND($C11*(1+M4),0)</f>
        <v>40</v>
      </c>
      <c r="F11">
        <f t="shared" ref="F11:F13" si="29">ROUND($C11*(1+N4),0)</f>
        <v>50</v>
      </c>
      <c r="G11">
        <f t="shared" ref="G11:G13" si="30">ROUND($C11*(1+O4),0)</f>
        <v>58</v>
      </c>
      <c r="I11" s="14">
        <f t="shared" si="20"/>
        <v>36.697247706422019</v>
      </c>
      <c r="J11" s="14">
        <f t="shared" si="21"/>
        <v>45.871559633027516</v>
      </c>
      <c r="K11" s="14">
        <f t="shared" si="22"/>
        <v>53.211009174311926</v>
      </c>
      <c r="M11" s="38">
        <f t="shared" ref="M11:M13" si="31">(E11-$C11)/$C11</f>
        <v>-0.15146372507424694</v>
      </c>
      <c r="N11" s="38">
        <f t="shared" si="23"/>
        <v>6.0670343657191331E-2</v>
      </c>
      <c r="O11" s="38">
        <f t="shared" si="23"/>
        <v>0.23037759864234195</v>
      </c>
      <c r="Q11" s="44">
        <f t="shared" ref="Q11:Q13" si="32">(I11-$D11)/$D11</f>
        <v>-0.19576489795261853</v>
      </c>
      <c r="R11" s="44">
        <f t="shared" si="24"/>
        <v>5.2938775592266838E-3</v>
      </c>
      <c r="S11" s="44">
        <f t="shared" si="25"/>
        <v>0.1661408979687031</v>
      </c>
      <c r="U11" t="s">
        <v>89</v>
      </c>
      <c r="V11" s="2">
        <f>ROUND(1.055*B11,2)</f>
        <v>45.63</v>
      </c>
      <c r="Y11">
        <f t="shared" ref="Y11:Y13" si="33">ROUND($V11*(1+AVERAGE(Q$7,Q$14)),2)</f>
        <v>36.479999999999997</v>
      </c>
      <c r="Z11">
        <f t="shared" si="26"/>
        <v>46.14</v>
      </c>
      <c r="AA11">
        <f t="shared" si="27"/>
        <v>53.41</v>
      </c>
    </row>
    <row r="12" spans="1:27" x14ac:dyDescent="0.25">
      <c r="A12" s="28" t="s">
        <v>116</v>
      </c>
      <c r="B12" s="24">
        <v>32.53</v>
      </c>
      <c r="C12" s="29">
        <f t="shared" si="17"/>
        <v>35.46</v>
      </c>
      <c r="D12" s="14">
        <f t="shared" si="18"/>
        <v>34.32</v>
      </c>
      <c r="E12">
        <f t="shared" si="28"/>
        <v>30</v>
      </c>
      <c r="F12">
        <f t="shared" si="29"/>
        <v>38</v>
      </c>
      <c r="G12">
        <f t="shared" si="30"/>
        <v>44</v>
      </c>
      <c r="I12" s="14">
        <f t="shared" si="20"/>
        <v>27.52293577981651</v>
      </c>
      <c r="J12" s="14">
        <f t="shared" si="21"/>
        <v>34.862385321100916</v>
      </c>
      <c r="K12" s="14">
        <f t="shared" si="22"/>
        <v>40.366972477064216</v>
      </c>
      <c r="M12" s="38">
        <f t="shared" si="31"/>
        <v>-0.15397631133671744</v>
      </c>
      <c r="N12" s="38">
        <f t="shared" si="23"/>
        <v>7.1630005640157896E-2</v>
      </c>
      <c r="O12" s="38">
        <f t="shared" si="23"/>
        <v>0.24083474337281441</v>
      </c>
      <c r="Q12" s="44">
        <f t="shared" si="32"/>
        <v>-0.19804965676525321</v>
      </c>
      <c r="R12" s="44">
        <f t="shared" si="24"/>
        <v>1.5803768097346037E-2</v>
      </c>
      <c r="S12" s="44">
        <f t="shared" si="25"/>
        <v>0.17619383674429534</v>
      </c>
      <c r="U12" t="s">
        <v>90</v>
      </c>
      <c r="V12" s="2">
        <f>ROUND(1.055*B13,2)</f>
        <v>62.91</v>
      </c>
      <c r="Y12">
        <f t="shared" si="33"/>
        <v>50.29</v>
      </c>
      <c r="Z12">
        <f t="shared" si="26"/>
        <v>63.61</v>
      </c>
      <c r="AA12">
        <f t="shared" si="27"/>
        <v>73.64</v>
      </c>
    </row>
    <row r="13" spans="1:27" ht="15.75" thickBot="1" x14ac:dyDescent="0.3">
      <c r="A13" s="30" t="s">
        <v>115</v>
      </c>
      <c r="B13" s="31">
        <v>59.63</v>
      </c>
      <c r="C13" s="32">
        <f t="shared" si="17"/>
        <v>65</v>
      </c>
      <c r="D13" s="14">
        <f t="shared" si="18"/>
        <v>62.91</v>
      </c>
      <c r="E13">
        <f t="shared" si="28"/>
        <v>55</v>
      </c>
      <c r="F13">
        <f t="shared" si="29"/>
        <v>69</v>
      </c>
      <c r="G13">
        <f t="shared" si="30"/>
        <v>80</v>
      </c>
      <c r="I13" s="14">
        <f t="shared" si="20"/>
        <v>50.458715596330272</v>
      </c>
      <c r="J13" s="14">
        <f t="shared" si="21"/>
        <v>63.302752293577974</v>
      </c>
      <c r="K13" s="14">
        <f t="shared" si="22"/>
        <v>73.394495412844037</v>
      </c>
      <c r="M13" s="38">
        <f t="shared" si="31"/>
        <v>-0.15384615384615385</v>
      </c>
      <c r="N13" s="38">
        <f t="shared" si="23"/>
        <v>6.1538461538461542E-2</v>
      </c>
      <c r="O13" s="38">
        <f t="shared" si="23"/>
        <v>0.23076923076923078</v>
      </c>
      <c r="Q13" s="44">
        <f t="shared" si="32"/>
        <v>-0.19792218095167263</v>
      </c>
      <c r="R13" s="44">
        <f t="shared" si="24"/>
        <v>6.243082078810646E-3</v>
      </c>
      <c r="S13" s="44">
        <f t="shared" si="25"/>
        <v>0.16665864588847626</v>
      </c>
      <c r="U13" t="s">
        <v>13</v>
      </c>
      <c r="V13" s="2">
        <f>ROUND(1.055*B12,2)</f>
        <v>34.32</v>
      </c>
      <c r="Y13">
        <f t="shared" si="33"/>
        <v>27.44</v>
      </c>
      <c r="Z13">
        <f t="shared" si="26"/>
        <v>34.700000000000003</v>
      </c>
      <c r="AA13">
        <f t="shared" si="27"/>
        <v>40.17</v>
      </c>
    </row>
    <row r="14" spans="1:27" x14ac:dyDescent="0.25">
      <c r="L14" t="s">
        <v>124</v>
      </c>
      <c r="M14" s="39">
        <f>AVERAGE(M10:M13)</f>
        <v>-0.15355394193047672</v>
      </c>
      <c r="N14" s="39">
        <f t="shared" ref="N14" si="34">AVERAGE(N10:N13)</f>
        <v>6.6065336511769601E-2</v>
      </c>
      <c r="O14" s="39">
        <f t="shared" ref="O14" si="35">AVERAGE(O10:O13)</f>
        <v>0.23535454812567425</v>
      </c>
      <c r="Q14" s="45">
        <f>AVERAGE(Q10:Q13)</f>
        <v>-0.19767999459974561</v>
      </c>
      <c r="R14" s="45">
        <f t="shared" ref="R14:S14" si="36">AVERAGE(R10:R13)</f>
        <v>1.049048840285717E-2</v>
      </c>
      <c r="S14" s="45">
        <f t="shared" si="36"/>
        <v>0.17095448948290809</v>
      </c>
    </row>
    <row r="15" spans="1:27" x14ac:dyDescent="0.25">
      <c r="M15" s="39"/>
      <c r="N15" s="39"/>
      <c r="O15" s="39"/>
      <c r="U15" t="s">
        <v>155</v>
      </c>
    </row>
    <row r="16" spans="1:27" ht="15.75" thickBot="1" x14ac:dyDescent="0.3">
      <c r="A16" s="37" t="s">
        <v>123</v>
      </c>
      <c r="E16" s="46" t="s">
        <v>5</v>
      </c>
      <c r="F16" s="46" t="s">
        <v>6</v>
      </c>
      <c r="G16" s="46" t="s">
        <v>7</v>
      </c>
      <c r="H16" s="46"/>
      <c r="I16" s="46" t="s">
        <v>5</v>
      </c>
      <c r="J16" s="46" t="s">
        <v>6</v>
      </c>
      <c r="K16" s="46" t="s">
        <v>7</v>
      </c>
      <c r="M16" s="39" t="s">
        <v>5</v>
      </c>
      <c r="N16" s="39" t="s">
        <v>6</v>
      </c>
      <c r="O16" s="39" t="s">
        <v>7</v>
      </c>
      <c r="Y16" t="s">
        <v>5</v>
      </c>
      <c r="Z16" t="s">
        <v>6</v>
      </c>
      <c r="AA16" t="s">
        <v>7</v>
      </c>
    </row>
    <row r="17" spans="1:27" x14ac:dyDescent="0.25">
      <c r="A17" s="25" t="s">
        <v>113</v>
      </c>
      <c r="B17" s="26">
        <v>58.88</v>
      </c>
      <c r="C17" s="27">
        <f t="shared" ref="C17:C20" si="37">ROUND(B17*1.09,2)</f>
        <v>64.180000000000007</v>
      </c>
      <c r="D17" s="14">
        <f>ROUND(1.1*B17,2)</f>
        <v>64.77</v>
      </c>
      <c r="E17" s="47">
        <f>ROUND(1.09*I17,2)</f>
        <v>56.44</v>
      </c>
      <c r="F17" s="47">
        <f t="shared" ref="F17:G17" si="38">ROUND(1.09*J17,2)</f>
        <v>71.38</v>
      </c>
      <c r="G17" s="47">
        <f t="shared" si="38"/>
        <v>82.63</v>
      </c>
      <c r="H17" s="46"/>
      <c r="I17" s="47">
        <f>ROUND($D17*(1+AVERAGE(Q$7,Q$14)),2)</f>
        <v>51.78</v>
      </c>
      <c r="J17" s="47">
        <f t="shared" ref="J17:K17" si="39">ROUND($D17*(1+AVERAGE(R$7,R$14)),2)</f>
        <v>65.489999999999995</v>
      </c>
      <c r="K17" s="47">
        <f t="shared" si="39"/>
        <v>75.81</v>
      </c>
      <c r="M17" s="38">
        <f t="shared" ref="M17:M20" si="40">(E17-$C17)/$C17</f>
        <v>-0.12059831723278293</v>
      </c>
      <c r="N17" s="38">
        <f t="shared" ref="N17:N20" si="41">(F17-$C17)/$C17</f>
        <v>0.11218448114677451</v>
      </c>
      <c r="O17" s="38">
        <f t="shared" ref="O17:O20" si="42">(G17-$C17)/$C17</f>
        <v>0.28747273293860998</v>
      </c>
      <c r="U17" t="s">
        <v>88</v>
      </c>
      <c r="V17" s="2">
        <f>ROUND(1.1*B17,2)</f>
        <v>64.77</v>
      </c>
      <c r="W17" s="2"/>
      <c r="Y17">
        <f>ROUND($V17*(1+AVERAGE(Q$7,Q$14)),2)</f>
        <v>51.78</v>
      </c>
      <c r="Z17">
        <f t="shared" ref="Z17:Z20" si="43">ROUND($V17*(1+AVERAGE(R$7,R$14)),2)</f>
        <v>65.489999999999995</v>
      </c>
      <c r="AA17">
        <f t="shared" ref="AA17:AA20" si="44">ROUND($V17*(1+AVERAGE(S$7,S$14)),2)</f>
        <v>75.81</v>
      </c>
    </row>
    <row r="18" spans="1:27" x14ac:dyDescent="0.25">
      <c r="A18" s="28" t="s">
        <v>121</v>
      </c>
      <c r="B18" s="24">
        <v>58.88</v>
      </c>
      <c r="C18" s="29">
        <f t="shared" si="37"/>
        <v>64.180000000000007</v>
      </c>
      <c r="D18" s="14">
        <f t="shared" ref="D18:D20" si="45">ROUND(1.1*B18,2)</f>
        <v>64.77</v>
      </c>
      <c r="E18" s="47">
        <f t="shared" ref="E18:E20" si="46">ROUND(1.09*I18,2)</f>
        <v>56.44</v>
      </c>
      <c r="F18" s="47">
        <f t="shared" ref="F18:F20" si="47">ROUND(1.09*J18,2)</f>
        <v>71.38</v>
      </c>
      <c r="G18" s="47">
        <f t="shared" ref="G18:G20" si="48">ROUND(1.09*K18,2)</f>
        <v>82.63</v>
      </c>
      <c r="H18" s="46"/>
      <c r="I18" s="47">
        <f t="shared" ref="I18:I20" si="49">ROUND($D18*(1+AVERAGE(Q$7,Q$14)),2)</f>
        <v>51.78</v>
      </c>
      <c r="J18" s="47">
        <f t="shared" ref="J18:J20" si="50">ROUND($D18*(1+AVERAGE(R$7,R$14)),2)</f>
        <v>65.489999999999995</v>
      </c>
      <c r="K18" s="47">
        <f t="shared" ref="K18:K20" si="51">ROUND($D18*(1+AVERAGE(S$7,S$14)),2)</f>
        <v>75.81</v>
      </c>
      <c r="M18" s="38">
        <f t="shared" si="40"/>
        <v>-0.12059831723278293</v>
      </c>
      <c r="N18" s="38">
        <f t="shared" si="41"/>
        <v>0.11218448114677451</v>
      </c>
      <c r="O18" s="38">
        <f t="shared" si="42"/>
        <v>0.28747273293860998</v>
      </c>
      <c r="U18" t="s">
        <v>89</v>
      </c>
      <c r="V18" s="2">
        <f>ROUND(1.1*B18,2)</f>
        <v>64.77</v>
      </c>
      <c r="W18" s="2"/>
      <c r="Y18">
        <f t="shared" ref="Y18:Y20" si="52">ROUND($V18*(1+AVERAGE(Q$7,Q$14)),2)</f>
        <v>51.78</v>
      </c>
      <c r="Z18">
        <f t="shared" si="43"/>
        <v>65.489999999999995</v>
      </c>
      <c r="AA18">
        <f t="shared" si="44"/>
        <v>75.81</v>
      </c>
    </row>
    <row r="19" spans="1:27" x14ac:dyDescent="0.25">
      <c r="A19" s="28" t="s">
        <v>116</v>
      </c>
      <c r="B19" s="24">
        <v>117.76</v>
      </c>
      <c r="C19" s="29">
        <f t="shared" si="37"/>
        <v>128.36000000000001</v>
      </c>
      <c r="D19" s="14">
        <f t="shared" si="45"/>
        <v>129.54</v>
      </c>
      <c r="E19" s="47">
        <f t="shared" si="46"/>
        <v>112.88</v>
      </c>
      <c r="F19" s="47">
        <f t="shared" si="47"/>
        <v>142.77000000000001</v>
      </c>
      <c r="G19" s="47">
        <f t="shared" si="48"/>
        <v>165.27</v>
      </c>
      <c r="H19" s="46"/>
      <c r="I19" s="47">
        <f t="shared" si="49"/>
        <v>103.56</v>
      </c>
      <c r="J19" s="47">
        <f t="shared" si="50"/>
        <v>130.97999999999999</v>
      </c>
      <c r="K19" s="47">
        <f t="shared" si="51"/>
        <v>151.62</v>
      </c>
      <c r="M19" s="38">
        <f t="shared" si="40"/>
        <v>-0.12059831723278293</v>
      </c>
      <c r="N19" s="38">
        <f t="shared" si="41"/>
        <v>0.11226238703645992</v>
      </c>
      <c r="O19" s="38">
        <f t="shared" si="42"/>
        <v>0.28755063882829535</v>
      </c>
      <c r="U19" t="s">
        <v>90</v>
      </c>
      <c r="V19" s="2">
        <f>ROUND(1.1*B20,2)</f>
        <v>129.54</v>
      </c>
      <c r="W19" s="2"/>
      <c r="Y19">
        <f t="shared" si="52"/>
        <v>103.56</v>
      </c>
      <c r="Z19">
        <f t="shared" si="43"/>
        <v>130.97999999999999</v>
      </c>
      <c r="AA19">
        <f t="shared" si="44"/>
        <v>151.62</v>
      </c>
    </row>
    <row r="20" spans="1:27" ht="15.75" thickBot="1" x14ac:dyDescent="0.3">
      <c r="A20" s="30" t="s">
        <v>115</v>
      </c>
      <c r="B20" s="31">
        <v>117.76</v>
      </c>
      <c r="C20" s="32">
        <f t="shared" si="37"/>
        <v>128.36000000000001</v>
      </c>
      <c r="D20" s="14">
        <f t="shared" si="45"/>
        <v>129.54</v>
      </c>
      <c r="E20" s="47">
        <f t="shared" si="46"/>
        <v>112.88</v>
      </c>
      <c r="F20" s="47">
        <f t="shared" si="47"/>
        <v>142.77000000000001</v>
      </c>
      <c r="G20" s="47">
        <f t="shared" si="48"/>
        <v>165.27</v>
      </c>
      <c r="H20" s="46"/>
      <c r="I20" s="47">
        <f t="shared" si="49"/>
        <v>103.56</v>
      </c>
      <c r="J20" s="47">
        <f t="shared" si="50"/>
        <v>130.97999999999999</v>
      </c>
      <c r="K20" s="47">
        <f t="shared" si="51"/>
        <v>151.62</v>
      </c>
      <c r="M20" s="38">
        <f t="shared" si="40"/>
        <v>-0.12059831723278293</v>
      </c>
      <c r="N20" s="38">
        <f t="shared" si="41"/>
        <v>0.11226238703645992</v>
      </c>
      <c r="O20" s="38">
        <f t="shared" si="42"/>
        <v>0.28755063882829535</v>
      </c>
      <c r="U20" t="s">
        <v>13</v>
      </c>
      <c r="V20" s="2">
        <f>ROUND(1.1*B19,2)</f>
        <v>129.54</v>
      </c>
      <c r="W20" s="2"/>
      <c r="Y20">
        <f t="shared" si="52"/>
        <v>103.56</v>
      </c>
      <c r="Z20">
        <f t="shared" si="43"/>
        <v>130.97999999999999</v>
      </c>
      <c r="AA20">
        <f t="shared" si="44"/>
        <v>151.62</v>
      </c>
    </row>
    <row r="21" spans="1:27" x14ac:dyDescent="0.25">
      <c r="L21" t="s">
        <v>124</v>
      </c>
      <c r="M21" s="39">
        <f>AVERAGE(M17:M20)</f>
        <v>-0.12059831723278293</v>
      </c>
      <c r="N21" s="39">
        <f t="shared" ref="N21" si="53">AVERAGE(N17:N20)</f>
        <v>0.11222343409161721</v>
      </c>
      <c r="O21" s="39">
        <f t="shared" ref="O21" si="54">AVERAGE(O17:O20)</f>
        <v>0.28751168588345266</v>
      </c>
    </row>
    <row r="24" spans="1:27" ht="15.75" thickBot="1" x14ac:dyDescent="0.3">
      <c r="A24" t="s">
        <v>125</v>
      </c>
      <c r="B24" t="s">
        <v>126</v>
      </c>
      <c r="C24" t="s">
        <v>118</v>
      </c>
      <c r="E24" t="s">
        <v>127</v>
      </c>
      <c r="F24" t="s">
        <v>128</v>
      </c>
      <c r="G24" t="s">
        <v>129</v>
      </c>
      <c r="I24" t="s">
        <v>127</v>
      </c>
      <c r="J24" t="s">
        <v>128</v>
      </c>
      <c r="K24" t="s">
        <v>129</v>
      </c>
      <c r="M24" t="s">
        <v>130</v>
      </c>
      <c r="O24" t="s">
        <v>130</v>
      </c>
    </row>
    <row r="25" spans="1:27" x14ac:dyDescent="0.25">
      <c r="A25" s="25" t="s">
        <v>113</v>
      </c>
      <c r="B25" s="41">
        <v>9.86</v>
      </c>
      <c r="C25" s="27">
        <f t="shared" ref="C25:C28" si="55">ROUND(B25*1.09,2)</f>
        <v>10.75</v>
      </c>
      <c r="E25">
        <v>46</v>
      </c>
      <c r="F25">
        <v>55</v>
      </c>
      <c r="G25">
        <v>62</v>
      </c>
      <c r="I25" s="14">
        <f>(E25/1.09)</f>
        <v>42.201834862385319</v>
      </c>
      <c r="J25" s="14">
        <f t="shared" ref="J25:J28" si="56">(F25/1.09)</f>
        <v>50.458715596330272</v>
      </c>
      <c r="K25" s="14">
        <f t="shared" ref="K25:K28" si="57">(G25/1.09)</f>
        <v>56.880733944954123</v>
      </c>
      <c r="M25">
        <v>65</v>
      </c>
      <c r="O25" s="23">
        <f>(M25/1.09)</f>
        <v>59.633027522935777</v>
      </c>
    </row>
    <row r="26" spans="1:27" x14ac:dyDescent="0.25">
      <c r="A26" s="28" t="s">
        <v>121</v>
      </c>
      <c r="B26" s="40">
        <v>18.489999999999998</v>
      </c>
      <c r="C26" s="29">
        <f t="shared" si="55"/>
        <v>20.149999999999999</v>
      </c>
      <c r="E26">
        <v>79</v>
      </c>
      <c r="F26">
        <v>96</v>
      </c>
      <c r="G26">
        <v>107</v>
      </c>
      <c r="I26" s="14">
        <f t="shared" ref="I26:I28" si="58">(E26/1.09)</f>
        <v>72.477064220183479</v>
      </c>
      <c r="J26" s="14">
        <f t="shared" si="56"/>
        <v>88.073394495412842</v>
      </c>
      <c r="K26" s="14">
        <f t="shared" si="57"/>
        <v>98.165137614678898</v>
      </c>
      <c r="M26">
        <v>114</v>
      </c>
      <c r="O26" s="23">
        <f t="shared" ref="O26:O28" si="59">(M26/1.09)</f>
        <v>104.58715596330275</v>
      </c>
    </row>
    <row r="27" spans="1:27" x14ac:dyDescent="0.25">
      <c r="A27" s="28" t="s">
        <v>116</v>
      </c>
      <c r="B27" s="40">
        <v>19.72</v>
      </c>
      <c r="C27" s="29">
        <f t="shared" si="55"/>
        <v>21.49</v>
      </c>
      <c r="E27">
        <v>91</v>
      </c>
      <c r="F27">
        <v>110</v>
      </c>
      <c r="G27">
        <v>124</v>
      </c>
      <c r="I27" s="14">
        <f t="shared" si="58"/>
        <v>83.486238532110079</v>
      </c>
      <c r="J27" s="14">
        <f t="shared" si="56"/>
        <v>100.91743119266054</v>
      </c>
      <c r="K27" s="14">
        <f t="shared" si="57"/>
        <v>113.76146788990825</v>
      </c>
      <c r="M27">
        <v>131</v>
      </c>
      <c r="O27" s="23">
        <f t="shared" si="59"/>
        <v>120.1834862385321</v>
      </c>
    </row>
    <row r="28" spans="1:27" ht="15.75" thickBot="1" x14ac:dyDescent="0.3">
      <c r="A28" s="30" t="s">
        <v>115</v>
      </c>
      <c r="B28" s="42">
        <v>28.35</v>
      </c>
      <c r="C28" s="32">
        <f t="shared" si="55"/>
        <v>30.9</v>
      </c>
      <c r="E28">
        <v>125</v>
      </c>
      <c r="F28">
        <v>151</v>
      </c>
      <c r="G28">
        <v>169</v>
      </c>
      <c r="I28" s="14">
        <f t="shared" si="58"/>
        <v>114.6788990825688</v>
      </c>
      <c r="J28" s="14">
        <f t="shared" si="56"/>
        <v>138.53211009174311</v>
      </c>
      <c r="K28" s="14">
        <f t="shared" si="57"/>
        <v>155.04587155963301</v>
      </c>
      <c r="M28">
        <v>179</v>
      </c>
      <c r="O28" s="23">
        <f t="shared" si="59"/>
        <v>164.22018348623851</v>
      </c>
    </row>
    <row r="30" spans="1:27" x14ac:dyDescent="0.25">
      <c r="I30" t="s">
        <v>32</v>
      </c>
      <c r="L30" t="s">
        <v>124</v>
      </c>
      <c r="O30" t="s">
        <v>33</v>
      </c>
    </row>
    <row r="31" spans="1:27" x14ac:dyDescent="0.25">
      <c r="I31" s="43">
        <f>I25-I3</f>
        <v>10.091743119266056</v>
      </c>
      <c r="J31" s="43">
        <f t="shared" ref="J31:K31" si="60">J25-J3</f>
        <v>9.1743119266055047</v>
      </c>
      <c r="K31" s="43">
        <f t="shared" si="60"/>
        <v>9.1743119266055047</v>
      </c>
      <c r="L31" s="43">
        <f>ROUND(AVERAGE(I31:K31),2)</f>
        <v>9.48</v>
      </c>
      <c r="M31" s="36">
        <f>(L31-ROUND(B25,0))/ROUND(B25,0)</f>
        <v>-5.1999999999999956E-2</v>
      </c>
      <c r="O31" s="43">
        <f>ROUND(O25-K3,2)</f>
        <v>11.93</v>
      </c>
    </row>
    <row r="32" spans="1:27" x14ac:dyDescent="0.25">
      <c r="I32" s="43">
        <f t="shared" ref="I32:K34" si="61">I26-I4</f>
        <v>17.431192660550458</v>
      </c>
      <c r="J32" s="43">
        <f t="shared" si="61"/>
        <v>18.348623853211009</v>
      </c>
      <c r="K32" s="43">
        <f t="shared" si="61"/>
        <v>17.431192660550465</v>
      </c>
      <c r="L32" s="43">
        <f t="shared" ref="L32:L34" si="62">ROUND(AVERAGE(I32:K32),2)</f>
        <v>17.739999999999998</v>
      </c>
      <c r="M32" s="36">
        <f t="shared" ref="M32:M34" si="63">(L32-ROUND(B26,0))/ROUND(B26,0)</f>
        <v>-1.4444444444444531E-2</v>
      </c>
      <c r="O32" s="43">
        <f t="shared" ref="O32:O34" si="64">ROUND(O26-K4,2)</f>
        <v>23.85</v>
      </c>
    </row>
    <row r="33" spans="1:15" x14ac:dyDescent="0.25">
      <c r="I33" s="43">
        <f t="shared" si="61"/>
        <v>18.348623853210995</v>
      </c>
      <c r="J33" s="43">
        <f t="shared" si="61"/>
        <v>18.348623853211009</v>
      </c>
      <c r="K33" s="43">
        <f t="shared" si="61"/>
        <v>18.348623853211009</v>
      </c>
      <c r="L33" s="43">
        <f t="shared" si="62"/>
        <v>18.350000000000001</v>
      </c>
      <c r="M33" s="36">
        <f t="shared" si="63"/>
        <v>-8.2499999999999934E-2</v>
      </c>
      <c r="O33" s="43">
        <f t="shared" si="64"/>
        <v>24.77</v>
      </c>
    </row>
    <row r="34" spans="1:15" x14ac:dyDescent="0.25">
      <c r="I34" s="43">
        <f t="shared" si="61"/>
        <v>26.605504587155963</v>
      </c>
      <c r="J34" s="43">
        <f t="shared" si="61"/>
        <v>27.522935779816507</v>
      </c>
      <c r="K34" s="43">
        <f t="shared" si="61"/>
        <v>26.605504587155963</v>
      </c>
      <c r="L34" s="43">
        <f t="shared" si="62"/>
        <v>26.91</v>
      </c>
      <c r="M34" s="36">
        <f t="shared" si="63"/>
        <v>-3.8928571428571423E-2</v>
      </c>
      <c r="O34" s="43">
        <f t="shared" si="64"/>
        <v>35.78</v>
      </c>
    </row>
    <row r="37" spans="1:15" x14ac:dyDescent="0.25">
      <c r="A37" t="s">
        <v>135</v>
      </c>
      <c r="B37">
        <v>2009</v>
      </c>
      <c r="C37">
        <v>2010</v>
      </c>
      <c r="D37">
        <v>2011</v>
      </c>
      <c r="E37" t="s">
        <v>126</v>
      </c>
      <c r="F37" t="s">
        <v>117</v>
      </c>
    </row>
    <row r="38" spans="1:15" x14ac:dyDescent="0.25">
      <c r="B38">
        <v>0.13739999999999999</v>
      </c>
      <c r="C38">
        <v>0.1275</v>
      </c>
      <c r="D38">
        <v>0.1275</v>
      </c>
      <c r="E38">
        <v>0.1275</v>
      </c>
      <c r="F38">
        <f>ROUND(1.02*E38,4)</f>
        <v>0.13009999999999999</v>
      </c>
    </row>
    <row r="40" spans="1:15" x14ac:dyDescent="0.25">
      <c r="A40" t="s">
        <v>131</v>
      </c>
      <c r="B40">
        <v>2009</v>
      </c>
      <c r="C40">
        <v>2010</v>
      </c>
      <c r="D40">
        <v>2011</v>
      </c>
      <c r="E40" t="s">
        <v>126</v>
      </c>
      <c r="F40" t="s">
        <v>117</v>
      </c>
    </row>
    <row r="41" spans="1:15" x14ac:dyDescent="0.25">
      <c r="A41" t="s">
        <v>137</v>
      </c>
      <c r="B41">
        <v>0.45800000000000002</v>
      </c>
      <c r="C41">
        <v>0.45800000000000002</v>
      </c>
      <c r="D41">
        <v>0.48499999999999999</v>
      </c>
      <c r="E41">
        <v>0.57699999999999996</v>
      </c>
      <c r="F41">
        <f>ROUND(E41*1.1,3)</f>
        <v>0.63500000000000001</v>
      </c>
    </row>
    <row r="42" spans="1:15" x14ac:dyDescent="0.25">
      <c r="A42" t="s">
        <v>94</v>
      </c>
      <c r="E42">
        <v>0.79400000000000004</v>
      </c>
      <c r="F42">
        <f>ROUND(E42*1.1,3)</f>
        <v>0.873</v>
      </c>
      <c r="I42">
        <f>0.1275-0.0138</f>
        <v>0.1137</v>
      </c>
    </row>
    <row r="43" spans="1:15" x14ac:dyDescent="0.25">
      <c r="I43">
        <f>I42*0.95</f>
        <v>0.10801499999999999</v>
      </c>
    </row>
    <row r="44" spans="1:15" x14ac:dyDescent="0.25">
      <c r="I44" s="81">
        <f>I42*0.925</f>
        <v>0.1051725</v>
      </c>
    </row>
    <row r="45" spans="1:15" x14ac:dyDescent="0.25">
      <c r="A45" t="s">
        <v>132</v>
      </c>
      <c r="B45">
        <v>2009</v>
      </c>
      <c r="C45">
        <v>2010</v>
      </c>
      <c r="D45">
        <v>2011</v>
      </c>
      <c r="E45" t="s">
        <v>133</v>
      </c>
      <c r="F45" t="s">
        <v>117</v>
      </c>
    </row>
    <row r="46" spans="1:15" x14ac:dyDescent="0.25">
      <c r="B46">
        <v>0.34799999999999998</v>
      </c>
      <c r="C46">
        <v>0.34799999999999998</v>
      </c>
      <c r="D46">
        <v>0.39200000000000002</v>
      </c>
      <c r="E46">
        <v>0.41899999999999998</v>
      </c>
      <c r="F46">
        <f>ROUND(E46*1.07,3)</f>
        <v>0.44800000000000001</v>
      </c>
    </row>
    <row r="49" spans="1:6" x14ac:dyDescent="0.25">
      <c r="A49" t="s">
        <v>138</v>
      </c>
      <c r="B49" t="s">
        <v>136</v>
      </c>
      <c r="C49" s="14">
        <v>60000</v>
      </c>
    </row>
    <row r="50" spans="1:6" x14ac:dyDescent="0.25">
      <c r="B50">
        <v>2009</v>
      </c>
      <c r="C50">
        <v>2010</v>
      </c>
      <c r="D50">
        <v>2011</v>
      </c>
      <c r="E50" t="s">
        <v>133</v>
      </c>
      <c r="F50" t="s">
        <v>117</v>
      </c>
    </row>
    <row r="51" spans="1:6" x14ac:dyDescent="0.25">
      <c r="A51" t="s">
        <v>131</v>
      </c>
      <c r="B51" s="43">
        <f>ROUND($C$49*B41/1000,2)</f>
        <v>27.48</v>
      </c>
      <c r="C51" s="43">
        <f t="shared" ref="C51:F51" si="65">ROUND($C$49*C41/1000,2)</f>
        <v>27.48</v>
      </c>
      <c r="D51" s="43">
        <f t="shared" si="65"/>
        <v>29.1</v>
      </c>
      <c r="E51" s="43">
        <f t="shared" si="65"/>
        <v>34.619999999999997</v>
      </c>
      <c r="F51" s="43">
        <f t="shared" si="65"/>
        <v>38.1</v>
      </c>
    </row>
    <row r="52" spans="1:6" x14ac:dyDescent="0.25">
      <c r="A52" t="s">
        <v>132</v>
      </c>
      <c r="B52" s="43">
        <f>ROUND($C$49/1000*B46,2)</f>
        <v>20.88</v>
      </c>
      <c r="C52" s="43">
        <f t="shared" ref="C52:F52" si="66">ROUND($C$49/1000*C46,2)</f>
        <v>20.88</v>
      </c>
      <c r="D52" s="43">
        <f t="shared" si="66"/>
        <v>23.52</v>
      </c>
      <c r="E52" s="43">
        <f t="shared" si="66"/>
        <v>25.14</v>
      </c>
      <c r="F52" s="43">
        <f t="shared" si="66"/>
        <v>26.88</v>
      </c>
    </row>
    <row r="53" spans="1:6" x14ac:dyDescent="0.25">
      <c r="A53" t="s">
        <v>135</v>
      </c>
      <c r="B53" s="14">
        <f>ROUND($C$49/1000*2*B38,2)</f>
        <v>16.489999999999998</v>
      </c>
      <c r="C53" s="14">
        <f t="shared" ref="C53:F53" si="67">ROUND($C$49/1000*2*C38,2)</f>
        <v>15.3</v>
      </c>
      <c r="D53" s="14">
        <f t="shared" si="67"/>
        <v>15.3</v>
      </c>
      <c r="E53" s="14">
        <f t="shared" si="67"/>
        <v>15.3</v>
      </c>
      <c r="F53" s="14">
        <f t="shared" si="67"/>
        <v>15.61</v>
      </c>
    </row>
    <row r="56" spans="1:6" x14ac:dyDescent="0.25">
      <c r="A56" t="s">
        <v>134</v>
      </c>
    </row>
    <row r="57" spans="1:6" x14ac:dyDescent="0.25">
      <c r="B57">
        <v>2009</v>
      </c>
      <c r="C57">
        <v>2010</v>
      </c>
      <c r="D57">
        <v>2011</v>
      </c>
      <c r="E57" t="s">
        <v>133</v>
      </c>
      <c r="F57" t="s">
        <v>117</v>
      </c>
    </row>
    <row r="58" spans="1:6" x14ac:dyDescent="0.25">
      <c r="A58" t="s">
        <v>131</v>
      </c>
      <c r="B58" s="43">
        <f>26*B51</f>
        <v>714.48</v>
      </c>
      <c r="C58" s="43">
        <f>26*C51</f>
        <v>714.48</v>
      </c>
      <c r="D58" s="43">
        <f>26*D51</f>
        <v>756.6</v>
      </c>
      <c r="E58" s="43">
        <f>26*E51</f>
        <v>900.11999999999989</v>
      </c>
      <c r="F58" s="43">
        <f>26*F51</f>
        <v>990.6</v>
      </c>
    </row>
    <row r="59" spans="1:6" x14ac:dyDescent="0.25">
      <c r="A59" t="s">
        <v>132</v>
      </c>
      <c r="B59" s="43">
        <f t="shared" ref="B59:F59" si="68">26*B52</f>
        <v>542.88</v>
      </c>
      <c r="C59" s="43">
        <f t="shared" si="68"/>
        <v>542.88</v>
      </c>
      <c r="D59" s="43">
        <f t="shared" si="68"/>
        <v>611.52</v>
      </c>
      <c r="E59" s="43">
        <f t="shared" si="68"/>
        <v>653.64</v>
      </c>
      <c r="F59" s="43">
        <f t="shared" si="68"/>
        <v>698.88</v>
      </c>
    </row>
    <row r="60" spans="1:6" x14ac:dyDescent="0.25">
      <c r="A60" t="s">
        <v>135</v>
      </c>
      <c r="B60" s="43">
        <f t="shared" ref="B60:F60" si="69">26*B53</f>
        <v>428.73999999999995</v>
      </c>
      <c r="C60" s="43">
        <f t="shared" si="69"/>
        <v>397.8</v>
      </c>
      <c r="D60" s="43">
        <f t="shared" si="69"/>
        <v>397.8</v>
      </c>
      <c r="E60" s="43">
        <f t="shared" si="69"/>
        <v>397.8</v>
      </c>
      <c r="F60" s="43">
        <f t="shared" si="69"/>
        <v>405.86</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A1:F29"/>
  <sheetViews>
    <sheetView workbookViewId="0">
      <selection activeCell="H8" sqref="H8"/>
    </sheetView>
  </sheetViews>
  <sheetFormatPr baseColWidth="10" defaultRowHeight="15" x14ac:dyDescent="0.25"/>
  <cols>
    <col min="2" max="2" width="17.42578125" customWidth="1"/>
  </cols>
  <sheetData>
    <row r="1" spans="1:6" ht="23.25" x14ac:dyDescent="0.35">
      <c r="A1" s="49" t="s">
        <v>143</v>
      </c>
    </row>
    <row r="4" spans="1:6" ht="21" customHeight="1" thickBot="1" x14ac:dyDescent="0.3">
      <c r="B4" s="48" t="s">
        <v>144</v>
      </c>
    </row>
    <row r="5" spans="1:6" ht="21" customHeight="1" thickBot="1" x14ac:dyDescent="0.3">
      <c r="B5" s="50"/>
      <c r="C5" s="70" t="s">
        <v>148</v>
      </c>
      <c r="D5" s="51"/>
      <c r="E5" s="51"/>
      <c r="F5" s="52"/>
    </row>
    <row r="6" spans="1:6" ht="21" customHeight="1" x14ac:dyDescent="0.25">
      <c r="B6" s="232" t="s">
        <v>84</v>
      </c>
      <c r="C6" s="237" t="s">
        <v>145</v>
      </c>
      <c r="D6" s="234" t="s">
        <v>147</v>
      </c>
      <c r="E6" s="235"/>
      <c r="F6" s="236"/>
    </row>
    <row r="7" spans="1:6" ht="21" customHeight="1" thickBot="1" x14ac:dyDescent="0.3">
      <c r="B7" s="233"/>
      <c r="C7" s="238"/>
      <c r="D7" s="78" t="s">
        <v>146</v>
      </c>
      <c r="E7" s="79" t="s">
        <v>6</v>
      </c>
      <c r="F7" s="80" t="s">
        <v>7</v>
      </c>
    </row>
    <row r="8" spans="1:6" ht="21" customHeight="1" x14ac:dyDescent="0.25">
      <c r="B8" s="73" t="s">
        <v>88</v>
      </c>
      <c r="C8" s="74">
        <v>16.28</v>
      </c>
      <c r="D8" s="75">
        <v>13.761467889908255</v>
      </c>
      <c r="E8" s="76">
        <v>17.431192660550458</v>
      </c>
      <c r="F8" s="77">
        <v>20.183486238532108</v>
      </c>
    </row>
    <row r="9" spans="1:6" ht="21" customHeight="1" x14ac:dyDescent="0.25">
      <c r="B9" s="63" t="s">
        <v>89</v>
      </c>
      <c r="C9" s="71">
        <v>43.25</v>
      </c>
      <c r="D9" s="61">
        <v>36.697247706422019</v>
      </c>
      <c r="E9" s="57">
        <v>45.871559633027516</v>
      </c>
      <c r="F9" s="58">
        <v>53.211009174311926</v>
      </c>
    </row>
    <row r="10" spans="1:6" ht="21" customHeight="1" x14ac:dyDescent="0.25">
      <c r="B10" s="63" t="s">
        <v>13</v>
      </c>
      <c r="C10" s="71">
        <v>32.53</v>
      </c>
      <c r="D10" s="61">
        <v>27.52293577981651</v>
      </c>
      <c r="E10" s="57">
        <v>34.862385321100916</v>
      </c>
      <c r="F10" s="58">
        <v>40.366972477064216</v>
      </c>
    </row>
    <row r="11" spans="1:6" ht="21" customHeight="1" thickBot="1" x14ac:dyDescent="0.3">
      <c r="B11" s="64" t="s">
        <v>90</v>
      </c>
      <c r="C11" s="72">
        <v>59.63</v>
      </c>
      <c r="D11" s="62">
        <v>50.458715596330272</v>
      </c>
      <c r="E11" s="59">
        <v>63.302752293577974</v>
      </c>
      <c r="F11" s="60">
        <v>73.394495412844037</v>
      </c>
    </row>
    <row r="12" spans="1:6" ht="21" customHeight="1" x14ac:dyDescent="0.25">
      <c r="B12" s="53"/>
      <c r="C12" s="9"/>
      <c r="D12" s="9"/>
      <c r="E12" s="9"/>
      <c r="F12" s="54"/>
    </row>
    <row r="13" spans="1:6" ht="21" customHeight="1" thickBot="1" x14ac:dyDescent="0.3">
      <c r="B13" s="53"/>
      <c r="C13" s="230" t="s">
        <v>149</v>
      </c>
      <c r="D13" s="230"/>
      <c r="E13" s="230"/>
      <c r="F13" s="231"/>
    </row>
    <row r="14" spans="1:6" ht="21" customHeight="1" x14ac:dyDescent="0.25">
      <c r="B14" s="53"/>
      <c r="C14" s="9"/>
      <c r="D14" s="65" t="s">
        <v>146</v>
      </c>
      <c r="E14" s="41" t="s">
        <v>6</v>
      </c>
      <c r="F14" s="66" t="s">
        <v>7</v>
      </c>
    </row>
    <row r="15" spans="1:6" ht="21" customHeight="1" thickBot="1" x14ac:dyDescent="0.3">
      <c r="B15" s="55"/>
      <c r="C15" s="56"/>
      <c r="D15" s="67">
        <f>Feuil3!M14</f>
        <v>-0.15355394193047672</v>
      </c>
      <c r="E15" s="68">
        <f>Feuil3!N14</f>
        <v>6.6065336511769601E-2</v>
      </c>
      <c r="F15" s="69">
        <f>Feuil3!O14</f>
        <v>0.23535454812567425</v>
      </c>
    </row>
    <row r="18" spans="2:6" ht="21" customHeight="1" thickBot="1" x14ac:dyDescent="0.3">
      <c r="B18" s="48" t="s">
        <v>150</v>
      </c>
    </row>
    <row r="19" spans="2:6" ht="21" customHeight="1" thickBot="1" x14ac:dyDescent="0.3">
      <c r="B19" s="50"/>
      <c r="C19" s="70" t="s">
        <v>148</v>
      </c>
      <c r="D19" s="51"/>
      <c r="E19" s="51"/>
      <c r="F19" s="52"/>
    </row>
    <row r="20" spans="2:6" ht="21" customHeight="1" x14ac:dyDescent="0.25">
      <c r="B20" s="232" t="s">
        <v>84</v>
      </c>
      <c r="C20" s="237" t="s">
        <v>145</v>
      </c>
      <c r="D20" s="234" t="s">
        <v>147</v>
      </c>
      <c r="E20" s="235"/>
      <c r="F20" s="236"/>
    </row>
    <row r="21" spans="2:6" ht="21" customHeight="1" thickBot="1" x14ac:dyDescent="0.3">
      <c r="B21" s="233"/>
      <c r="C21" s="238"/>
      <c r="D21" s="78" t="s">
        <v>146</v>
      </c>
      <c r="E21" s="79" t="s">
        <v>6</v>
      </c>
      <c r="F21" s="80" t="s">
        <v>7</v>
      </c>
    </row>
    <row r="22" spans="2:6" ht="21" customHeight="1" x14ac:dyDescent="0.25">
      <c r="B22" s="73" t="s">
        <v>88</v>
      </c>
      <c r="C22" s="74">
        <v>58.88</v>
      </c>
      <c r="D22" s="75">
        <v>51.78</v>
      </c>
      <c r="E22" s="76">
        <v>65.489999999999995</v>
      </c>
      <c r="F22" s="77">
        <v>75.81</v>
      </c>
    </row>
    <row r="23" spans="2:6" ht="21" customHeight="1" x14ac:dyDescent="0.25">
      <c r="B23" s="63" t="s">
        <v>89</v>
      </c>
      <c r="C23" s="71">
        <v>58.88</v>
      </c>
      <c r="D23" s="61">
        <v>51.78</v>
      </c>
      <c r="E23" s="57">
        <v>65.489999999999995</v>
      </c>
      <c r="F23" s="58">
        <v>75.81</v>
      </c>
    </row>
    <row r="24" spans="2:6" ht="21" customHeight="1" x14ac:dyDescent="0.25">
      <c r="B24" s="63" t="s">
        <v>13</v>
      </c>
      <c r="C24" s="71">
        <v>117.76</v>
      </c>
      <c r="D24" s="61">
        <v>103.56</v>
      </c>
      <c r="E24" s="57">
        <v>130.97999999999999</v>
      </c>
      <c r="F24" s="58">
        <v>151.62</v>
      </c>
    </row>
    <row r="25" spans="2:6" ht="21" customHeight="1" thickBot="1" x14ac:dyDescent="0.3">
      <c r="B25" s="64" t="s">
        <v>90</v>
      </c>
      <c r="C25" s="72">
        <v>117.76</v>
      </c>
      <c r="D25" s="62">
        <v>103.56</v>
      </c>
      <c r="E25" s="59">
        <v>130.97999999999999</v>
      </c>
      <c r="F25" s="60">
        <v>151.62</v>
      </c>
    </row>
    <row r="26" spans="2:6" ht="21" customHeight="1" x14ac:dyDescent="0.25">
      <c r="B26" s="53"/>
      <c r="C26" s="9"/>
      <c r="D26" s="9"/>
      <c r="E26" s="9"/>
      <c r="F26" s="54"/>
    </row>
    <row r="27" spans="2:6" ht="21" customHeight="1" thickBot="1" x14ac:dyDescent="0.3">
      <c r="B27" s="53"/>
      <c r="C27" s="230" t="s">
        <v>149</v>
      </c>
      <c r="D27" s="230"/>
      <c r="E27" s="230"/>
      <c r="F27" s="231"/>
    </row>
    <row r="28" spans="2:6" ht="21" customHeight="1" x14ac:dyDescent="0.25">
      <c r="B28" s="53"/>
      <c r="C28" s="9"/>
      <c r="D28" s="65" t="s">
        <v>146</v>
      </c>
      <c r="E28" s="41" t="s">
        <v>6</v>
      </c>
      <c r="F28" s="66" t="s">
        <v>7</v>
      </c>
    </row>
    <row r="29" spans="2:6" ht="21" customHeight="1" thickBot="1" x14ac:dyDescent="0.3">
      <c r="B29" s="55"/>
      <c r="C29" s="56"/>
      <c r="D29" s="67">
        <f>Feuil3!M21</f>
        <v>-0.12059831723278293</v>
      </c>
      <c r="E29" s="68">
        <f>Feuil3!N21</f>
        <v>0.11222343409161721</v>
      </c>
      <c r="F29" s="69">
        <f>Feuil3!O21</f>
        <v>0.28751168588345266</v>
      </c>
    </row>
  </sheetData>
  <mergeCells count="8">
    <mergeCell ref="C27:F27"/>
    <mergeCell ref="B6:B7"/>
    <mergeCell ref="B20:B21"/>
    <mergeCell ref="D6:F6"/>
    <mergeCell ref="C13:F13"/>
    <mergeCell ref="C6:C7"/>
    <mergeCell ref="C20:C21"/>
    <mergeCell ref="D20:F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Feuil1</vt:lpstr>
      <vt:lpstr>Feuil2</vt:lpstr>
      <vt:lpstr>Feuil3</vt:lpstr>
      <vt:lpstr>Feuil4</vt:lpstr>
    </vt:vector>
  </TitlesOfParts>
  <Company>CSN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Yves Sabourin</dc:creator>
  <cp:lastModifiedBy>nbourre</cp:lastModifiedBy>
  <dcterms:created xsi:type="dcterms:W3CDTF">2012-08-16T15:50:10Z</dcterms:created>
  <dcterms:modified xsi:type="dcterms:W3CDTF">2018-10-31T17:57:03Z</dcterms:modified>
</cp:coreProperties>
</file>